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r08020\Desktop\Resources\"/>
    </mc:Choice>
  </mc:AlternateContent>
  <bookViews>
    <workbookView xWindow="0" yWindow="0" windowWidth="23040" windowHeight="9396" firstSheet="4" activeTab="4"/>
  </bookViews>
  <sheets>
    <sheet name="Loan_Amortization" sheetId="1" r:id="rId1"/>
    <sheet name="Debt_service_schedule" sheetId="3" r:id="rId2"/>
    <sheet name="monthly_P&amp;L-_yr_1" sheetId="8" state="hidden" r:id="rId3"/>
    <sheet name="12 week rolling_cf" sheetId="10" r:id="rId4"/>
    <sheet name="monthly_cf-_yr_1" sheetId="4" r:id="rId5"/>
    <sheet name="monthly_P&amp;L-_yr_2" sheetId="9" state="hidden" r:id="rId6"/>
    <sheet name="monthly_cf-_yr_2" sheetId="5" r:id="rId7"/>
    <sheet name="Sources_and_Uses" sheetId="6" r:id="rId8"/>
    <sheet name="Collateral_discounting" sheetId="7" r:id="rId9"/>
  </sheets>
  <definedNames>
    <definedName name="_xlnm.Print_Area" localSheetId="0">Loan_Amortization!$B$1:$J$68</definedName>
    <definedName name="TemplatePrintArea">Loan_Amortization!$B$1:$J$68</definedName>
  </definedNames>
  <calcPr calcId="171026"/>
</workbook>
</file>

<file path=xl/calcChain.xml><?xml version="1.0" encoding="utf-8"?>
<calcChain xmlns="http://schemas.openxmlformats.org/spreadsheetml/2006/main">
  <c r="N18" i="5" l="1"/>
  <c r="N35" i="5"/>
  <c r="M18" i="5"/>
  <c r="M35" i="5"/>
  <c r="L18" i="5"/>
  <c r="L35" i="5"/>
  <c r="K18" i="5"/>
  <c r="J18" i="5"/>
  <c r="J35" i="5"/>
  <c r="I18" i="5"/>
  <c r="I35" i="5"/>
  <c r="H18" i="5"/>
  <c r="H35" i="5"/>
  <c r="G18" i="5"/>
  <c r="F18" i="5"/>
  <c r="F35" i="5"/>
  <c r="E18" i="5"/>
  <c r="E35" i="5"/>
  <c r="D18" i="5"/>
  <c r="D35" i="5"/>
  <c r="C18" i="5"/>
  <c r="G6" i="3"/>
  <c r="D20" i="4"/>
  <c r="E20" i="4"/>
  <c r="F20" i="4"/>
  <c r="F33" i="4"/>
  <c r="G20" i="4"/>
  <c r="G33" i="4"/>
  <c r="H20" i="4"/>
  <c r="H33" i="4"/>
  <c r="I20" i="4"/>
  <c r="J20" i="4"/>
  <c r="J33" i="4"/>
  <c r="K20" i="4"/>
  <c r="K33" i="4"/>
  <c r="L20" i="4"/>
  <c r="L33" i="4"/>
  <c r="M20" i="4"/>
  <c r="N20" i="4"/>
  <c r="C20" i="4"/>
  <c r="C33" i="4"/>
  <c r="E13" i="3"/>
  <c r="O16" i="4"/>
  <c r="O17" i="4"/>
  <c r="O19" i="4"/>
  <c r="E33" i="4"/>
  <c r="I33" i="4"/>
  <c r="M33" i="4"/>
  <c r="N33" i="4"/>
  <c r="O18" i="10"/>
  <c r="O35" i="10"/>
  <c r="N18" i="10"/>
  <c r="N35" i="10"/>
  <c r="N12" i="10"/>
  <c r="O12" i="10"/>
  <c r="N13" i="10"/>
  <c r="N36" i="10"/>
  <c r="O13" i="10"/>
  <c r="O36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P18" i="10"/>
  <c r="P35" i="10"/>
  <c r="M18" i="10"/>
  <c r="M35" i="10"/>
  <c r="L18" i="10"/>
  <c r="L35" i="10"/>
  <c r="K18" i="10"/>
  <c r="K35" i="10"/>
  <c r="J18" i="10"/>
  <c r="J35" i="10"/>
  <c r="I18" i="10"/>
  <c r="I35" i="10"/>
  <c r="H18" i="10"/>
  <c r="H35" i="10"/>
  <c r="G18" i="10"/>
  <c r="G35" i="10"/>
  <c r="F18" i="10"/>
  <c r="F35" i="10"/>
  <c r="E18" i="10"/>
  <c r="E35" i="10"/>
  <c r="D18" i="10"/>
  <c r="D35" i="10"/>
  <c r="C18" i="10"/>
  <c r="C35" i="10"/>
  <c r="Q17" i="10"/>
  <c r="Q16" i="10"/>
  <c r="Q15" i="10"/>
  <c r="C12" i="10"/>
  <c r="C13" i="10"/>
  <c r="C36" i="10"/>
  <c r="D3" i="10"/>
  <c r="D12" i="10"/>
  <c r="D13" i="10"/>
  <c r="D36" i="10"/>
  <c r="E3" i="10"/>
  <c r="E12" i="10"/>
  <c r="E13" i="10"/>
  <c r="E36" i="10"/>
  <c r="F3" i="10"/>
  <c r="F12" i="10"/>
  <c r="F13" i="10"/>
  <c r="F36" i="10"/>
  <c r="G3" i="10"/>
  <c r="G12" i="10"/>
  <c r="G13" i="10"/>
  <c r="G36" i="10"/>
  <c r="H3" i="10"/>
  <c r="H12" i="10"/>
  <c r="H13" i="10"/>
  <c r="H36" i="10"/>
  <c r="I3" i="10"/>
  <c r="I12" i="10"/>
  <c r="I13" i="10"/>
  <c r="I36" i="10"/>
  <c r="J3" i="10"/>
  <c r="J12" i="10"/>
  <c r="J13" i="10"/>
  <c r="J36" i="10"/>
  <c r="K3" i="10"/>
  <c r="K12" i="10"/>
  <c r="K13" i="10"/>
  <c r="K36" i="10"/>
  <c r="L3" i="10"/>
  <c r="L12" i="10"/>
  <c r="L13" i="10"/>
  <c r="L36" i="10"/>
  <c r="M3" i="10"/>
  <c r="M12" i="10"/>
  <c r="M13" i="10"/>
  <c r="M36" i="10"/>
  <c r="P3" i="10"/>
  <c r="P12" i="10"/>
  <c r="P13" i="10"/>
  <c r="P36" i="10"/>
  <c r="Q11" i="10"/>
  <c r="Q10" i="10"/>
  <c r="Q9" i="10"/>
  <c r="Q8" i="10"/>
  <c r="Q7" i="10"/>
  <c r="Q6" i="10"/>
  <c r="Q5" i="10"/>
  <c r="Q12" i="10"/>
  <c r="N35" i="9"/>
  <c r="M35" i="9"/>
  <c r="L35" i="9"/>
  <c r="K35" i="9"/>
  <c r="J35" i="9"/>
  <c r="I35" i="9"/>
  <c r="H35" i="9"/>
  <c r="G35" i="9"/>
  <c r="F35" i="9"/>
  <c r="E35" i="9"/>
  <c r="D35" i="9"/>
  <c r="C35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35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O10" i="9"/>
  <c r="O9" i="9"/>
  <c r="O8" i="9"/>
  <c r="O7" i="9"/>
  <c r="O6" i="9"/>
  <c r="O5" i="9"/>
  <c r="O12" i="9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N18" i="8"/>
  <c r="N35" i="8"/>
  <c r="M18" i="8"/>
  <c r="M35" i="8"/>
  <c r="L18" i="8"/>
  <c r="L35" i="8"/>
  <c r="K18" i="8"/>
  <c r="K35" i="8"/>
  <c r="J18" i="8"/>
  <c r="J35" i="8"/>
  <c r="I18" i="8"/>
  <c r="I35" i="8"/>
  <c r="H18" i="8"/>
  <c r="H35" i="8"/>
  <c r="G18" i="8"/>
  <c r="G35" i="8"/>
  <c r="F18" i="8"/>
  <c r="F35" i="8"/>
  <c r="E18" i="8"/>
  <c r="E35" i="8"/>
  <c r="D18" i="8"/>
  <c r="D35" i="8"/>
  <c r="C18" i="8"/>
  <c r="O17" i="8"/>
  <c r="O16" i="8"/>
  <c r="O15" i="8"/>
  <c r="N12" i="8"/>
  <c r="M12" i="8"/>
  <c r="L12" i="8"/>
  <c r="K12" i="8"/>
  <c r="J12" i="8"/>
  <c r="I12" i="8"/>
  <c r="H12" i="8"/>
  <c r="G12" i="8"/>
  <c r="F12" i="8"/>
  <c r="E12" i="8"/>
  <c r="D12" i="8"/>
  <c r="C12" i="8"/>
  <c r="C13" i="8"/>
  <c r="O11" i="8"/>
  <c r="O10" i="8"/>
  <c r="O9" i="8"/>
  <c r="O8" i="8"/>
  <c r="O7" i="8"/>
  <c r="O6" i="8"/>
  <c r="O5" i="8"/>
  <c r="O12" i="8"/>
  <c r="F15" i="7"/>
  <c r="D9" i="7"/>
  <c r="F8" i="7"/>
  <c r="F7" i="7"/>
  <c r="F6" i="7"/>
  <c r="F5" i="7"/>
  <c r="F9" i="7"/>
  <c r="F10" i="6"/>
  <c r="C10" i="6"/>
  <c r="K35" i="5"/>
  <c r="G35" i="5"/>
  <c r="C35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5" i="5"/>
  <c r="O16" i="5"/>
  <c r="O17" i="5"/>
  <c r="O35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O10" i="5"/>
  <c r="O9" i="5"/>
  <c r="O8" i="5"/>
  <c r="O7" i="5"/>
  <c r="O6" i="5"/>
  <c r="O5" i="5"/>
  <c r="O12" i="5"/>
  <c r="O31" i="4"/>
  <c r="O30" i="4"/>
  <c r="O29" i="4"/>
  <c r="O28" i="4"/>
  <c r="O27" i="4"/>
  <c r="O26" i="4"/>
  <c r="O24" i="4"/>
  <c r="O23" i="4"/>
  <c r="O22" i="4"/>
  <c r="O21" i="4"/>
  <c r="O18" i="4"/>
  <c r="H12" i="4"/>
  <c r="D12" i="4"/>
  <c r="O11" i="4"/>
  <c r="O10" i="4"/>
  <c r="G11" i="3"/>
  <c r="G10" i="3"/>
  <c r="G9" i="3"/>
  <c r="G8" i="3"/>
  <c r="G7" i="3"/>
  <c r="G5" i="3"/>
  <c r="Q221" i="1"/>
  <c r="Q220" i="1"/>
  <c r="O204" i="1"/>
  <c r="C12" i="1"/>
  <c r="O205" i="1"/>
  <c r="C13" i="1"/>
  <c r="O206" i="1"/>
  <c r="C14" i="1"/>
  <c r="O207" i="1"/>
  <c r="C15" i="1"/>
  <c r="O208" i="1"/>
  <c r="C16" i="1"/>
  <c r="O209" i="1"/>
  <c r="C17" i="1"/>
  <c r="O210" i="1"/>
  <c r="C18" i="1"/>
  <c r="O211" i="1"/>
  <c r="C19" i="1"/>
  <c r="O212" i="1"/>
  <c r="C20" i="1"/>
  <c r="O213" i="1"/>
  <c r="C21" i="1"/>
  <c r="O214" i="1"/>
  <c r="C22" i="1"/>
  <c r="O215" i="1"/>
  <c r="C23" i="1"/>
  <c r="M217" i="1"/>
  <c r="M218" i="1"/>
  <c r="C32" i="1"/>
  <c r="C29" i="1"/>
  <c r="C28" i="1"/>
  <c r="C27" i="1"/>
  <c r="C26" i="1"/>
  <c r="C25" i="1"/>
  <c r="C24" i="1"/>
  <c r="J5" i="1"/>
  <c r="E31" i="1"/>
  <c r="Q18" i="10"/>
  <c r="Q35" i="10"/>
  <c r="O5" i="4"/>
  <c r="O6" i="4"/>
  <c r="O7" i="4"/>
  <c r="O12" i="4"/>
  <c r="C35" i="8"/>
  <c r="C36" i="8"/>
  <c r="D3" i="8"/>
  <c r="D13" i="8"/>
  <c r="D36" i="8"/>
  <c r="E3" i="8"/>
  <c r="E13" i="8"/>
  <c r="E36" i="8"/>
  <c r="F3" i="8"/>
  <c r="F13" i="8"/>
  <c r="F36" i="8"/>
  <c r="G3" i="8"/>
  <c r="G13" i="8"/>
  <c r="G36" i="8"/>
  <c r="H3" i="8"/>
  <c r="H13" i="8"/>
  <c r="H36" i="8"/>
  <c r="I3" i="8"/>
  <c r="I13" i="8"/>
  <c r="I36" i="8"/>
  <c r="J3" i="8"/>
  <c r="J13" i="8"/>
  <c r="J36" i="8"/>
  <c r="K3" i="8"/>
  <c r="K13" i="8"/>
  <c r="K36" i="8"/>
  <c r="L3" i="8"/>
  <c r="L13" i="8"/>
  <c r="L36" i="8"/>
  <c r="M3" i="8"/>
  <c r="M13" i="8"/>
  <c r="M36" i="8"/>
  <c r="N3" i="8"/>
  <c r="N13" i="8"/>
  <c r="N36" i="8"/>
  <c r="O18" i="8"/>
  <c r="O35" i="8"/>
  <c r="B13" i="1"/>
  <c r="B14" i="1"/>
  <c r="B15" i="1"/>
  <c r="B16" i="1"/>
  <c r="B17" i="1"/>
  <c r="B18" i="1"/>
  <c r="B19" i="1"/>
  <c r="B20" i="1"/>
  <c r="B21" i="1"/>
  <c r="B22" i="1"/>
  <c r="Q224" i="1"/>
  <c r="B23" i="1"/>
  <c r="B39" i="1"/>
  <c r="C30" i="1"/>
  <c r="N217" i="1"/>
  <c r="C31" i="1"/>
  <c r="L12" i="4"/>
  <c r="N12" i="4"/>
  <c r="J12" i="4"/>
  <c r="F12" i="4"/>
  <c r="C12" i="4"/>
  <c r="C13" i="4"/>
  <c r="M12" i="4"/>
  <c r="K12" i="4"/>
  <c r="I12" i="4"/>
  <c r="G12" i="4"/>
  <c r="E12" i="4"/>
  <c r="O15" i="4"/>
  <c r="O20" i="4"/>
  <c r="O25" i="4"/>
  <c r="O33" i="4"/>
  <c r="C34" i="4"/>
  <c r="D3" i="4"/>
  <c r="D13" i="4"/>
  <c r="D33" i="4"/>
  <c r="D34" i="4"/>
  <c r="E3" i="4"/>
  <c r="E13" i="4"/>
  <c r="E34" i="4"/>
  <c r="F3" i="4"/>
  <c r="F13" i="4"/>
  <c r="F34" i="4"/>
  <c r="G3" i="4"/>
  <c r="G13" i="4"/>
  <c r="G34" i="4"/>
  <c r="H3" i="4"/>
  <c r="H13" i="4"/>
  <c r="H34" i="4"/>
  <c r="I3" i="4"/>
  <c r="I13" i="4"/>
  <c r="I34" i="4"/>
  <c r="J3" i="4"/>
  <c r="J13" i="4"/>
  <c r="J34" i="4"/>
  <c r="K3" i="4"/>
  <c r="K13" i="4"/>
  <c r="K34" i="4"/>
  <c r="L3" i="4"/>
  <c r="L13" i="4"/>
  <c r="L34" i="4"/>
  <c r="M3" i="4"/>
  <c r="M13" i="4"/>
  <c r="M34" i="4"/>
  <c r="N3" i="4"/>
  <c r="N13" i="4"/>
  <c r="N34" i="4"/>
  <c r="G13" i="3"/>
  <c r="Q222" i="1"/>
  <c r="Q223" i="1"/>
  <c r="B40" i="1"/>
  <c r="B41" i="1"/>
  <c r="E34" i="1"/>
  <c r="N218" i="1"/>
  <c r="M219" i="1"/>
  <c r="E20" i="1"/>
  <c r="I40" i="1"/>
  <c r="C41" i="1"/>
  <c r="C33" i="1"/>
  <c r="N219" i="1"/>
  <c r="M220" i="1"/>
  <c r="B42" i="1"/>
  <c r="B43" i="1"/>
  <c r="M221" i="1"/>
  <c r="N220" i="1"/>
  <c r="I42" i="1"/>
  <c r="C43" i="1"/>
  <c r="C34" i="1"/>
  <c r="M222" i="1"/>
  <c r="C35" i="1"/>
  <c r="N221" i="1"/>
  <c r="B44" i="1"/>
  <c r="M223" i="1"/>
  <c r="N222" i="1"/>
  <c r="B45" i="1"/>
  <c r="M224" i="1"/>
  <c r="N223" i="1"/>
  <c r="B46" i="1"/>
  <c r="B47" i="1"/>
  <c r="M225" i="1"/>
  <c r="N224" i="1"/>
  <c r="M226" i="1"/>
  <c r="N225" i="1"/>
  <c r="B48" i="1"/>
  <c r="B49" i="1"/>
  <c r="N226" i="1"/>
  <c r="M227" i="1"/>
  <c r="M228" i="1"/>
  <c r="N227" i="1"/>
  <c r="B50" i="1"/>
  <c r="B51" i="1"/>
  <c r="N228" i="1"/>
  <c r="M229" i="1"/>
  <c r="B52" i="1"/>
  <c r="N229" i="1"/>
  <c r="M230" i="1"/>
  <c r="M231" i="1"/>
  <c r="N230" i="1"/>
  <c r="I52" i="1"/>
  <c r="B53" i="1"/>
  <c r="C53" i="1"/>
  <c r="D52" i="1"/>
  <c r="N231" i="1"/>
  <c r="M232" i="1"/>
  <c r="B54" i="1"/>
  <c r="B55" i="1"/>
  <c r="M233" i="1"/>
  <c r="N232" i="1"/>
  <c r="M234" i="1"/>
  <c r="N233" i="1"/>
  <c r="B56" i="1"/>
  <c r="D55" i="1"/>
  <c r="M235" i="1"/>
  <c r="N234" i="1"/>
  <c r="B57" i="1"/>
  <c r="B58" i="1"/>
  <c r="M236" i="1"/>
  <c r="N235" i="1"/>
  <c r="M237" i="1"/>
  <c r="N236" i="1"/>
  <c r="B59" i="1"/>
  <c r="I58" i="1"/>
  <c r="C59" i="1"/>
  <c r="E59" i="1"/>
  <c r="D59" i="1"/>
  <c r="F59" i="1"/>
  <c r="B60" i="1"/>
  <c r="I59" i="1"/>
  <c r="M238" i="1"/>
  <c r="N237" i="1"/>
  <c r="H59" i="1"/>
  <c r="G59" i="1"/>
  <c r="G60" i="1"/>
  <c r="I60" i="1"/>
  <c r="D60" i="1"/>
  <c r="B61" i="1"/>
  <c r="E60" i="1"/>
  <c r="F60" i="1"/>
  <c r="M239" i="1"/>
  <c r="N238" i="1"/>
  <c r="C60" i="1"/>
  <c r="G61" i="1"/>
  <c r="M240" i="1"/>
  <c r="N239" i="1"/>
  <c r="D61" i="1"/>
  <c r="I61" i="1"/>
  <c r="C61" i="1"/>
  <c r="H61" i="1"/>
  <c r="B62" i="1"/>
  <c r="E61" i="1"/>
  <c r="F61" i="1"/>
  <c r="H60" i="1"/>
  <c r="B63" i="1"/>
  <c r="I62" i="1"/>
  <c r="D62" i="1"/>
  <c r="E62" i="1"/>
  <c r="F62" i="1"/>
  <c r="G62" i="1"/>
  <c r="M241" i="1"/>
  <c r="N240" i="1"/>
  <c r="C62" i="1"/>
  <c r="H62" i="1"/>
  <c r="G63" i="1"/>
  <c r="N241" i="1"/>
  <c r="M242" i="1"/>
  <c r="B64" i="1"/>
  <c r="I63" i="1"/>
  <c r="C63" i="1"/>
  <c r="H63" i="1"/>
  <c r="D63" i="1"/>
  <c r="E63" i="1"/>
  <c r="F63" i="1"/>
  <c r="C64" i="1"/>
  <c r="H64" i="1"/>
  <c r="N242" i="1"/>
  <c r="M243" i="1"/>
  <c r="D64" i="1"/>
  <c r="B65" i="1"/>
  <c r="I64" i="1"/>
  <c r="E64" i="1"/>
  <c r="F64" i="1"/>
  <c r="G64" i="1"/>
  <c r="G65" i="1"/>
  <c r="M244" i="1"/>
  <c r="N243" i="1"/>
  <c r="C65" i="1"/>
  <c r="H65" i="1"/>
  <c r="D65" i="1"/>
  <c r="B66" i="1"/>
  <c r="I65" i="1"/>
  <c r="E65" i="1"/>
  <c r="F65" i="1"/>
  <c r="C66" i="1"/>
  <c r="H66" i="1"/>
  <c r="G66" i="1"/>
  <c r="D66" i="1"/>
  <c r="B67" i="1"/>
  <c r="I66" i="1"/>
  <c r="E66" i="1"/>
  <c r="F66" i="1"/>
  <c r="N244" i="1"/>
  <c r="M245" i="1"/>
  <c r="M246" i="1"/>
  <c r="N246" i="1"/>
  <c r="N245" i="1"/>
  <c r="I67" i="1"/>
  <c r="D67" i="1"/>
  <c r="B68" i="1"/>
  <c r="E67" i="1"/>
  <c r="F67" i="1"/>
  <c r="G67" i="1"/>
  <c r="C67" i="1"/>
  <c r="H67" i="1"/>
  <c r="G68" i="1"/>
  <c r="C68" i="1"/>
  <c r="D68" i="1"/>
  <c r="I68" i="1"/>
  <c r="E68" i="1"/>
  <c r="F68" i="1"/>
  <c r="H68" i="1"/>
  <c r="C3" i="9"/>
  <c r="C13" i="9"/>
  <c r="C36" i="9"/>
  <c r="D3" i="9"/>
  <c r="D13" i="9"/>
  <c r="D36" i="9"/>
  <c r="E3" i="9"/>
  <c r="E13" i="9"/>
  <c r="E36" i="9"/>
  <c r="F3" i="9"/>
  <c r="F13" i="9"/>
  <c r="F36" i="9"/>
  <c r="G3" i="9"/>
  <c r="G13" i="9"/>
  <c r="G36" i="9"/>
  <c r="H3" i="9"/>
  <c r="H13" i="9"/>
  <c r="H36" i="9"/>
  <c r="I3" i="9"/>
  <c r="I13" i="9"/>
  <c r="I36" i="9"/>
  <c r="J3" i="9"/>
  <c r="J13" i="9"/>
  <c r="J36" i="9"/>
  <c r="K3" i="9"/>
  <c r="K13" i="9"/>
  <c r="K36" i="9"/>
  <c r="L3" i="9"/>
  <c r="L13" i="9"/>
  <c r="L36" i="9"/>
  <c r="M3" i="9"/>
  <c r="M13" i="9"/>
  <c r="M36" i="9"/>
  <c r="N3" i="9"/>
  <c r="N13" i="9"/>
  <c r="N36" i="9"/>
  <c r="C3" i="5"/>
  <c r="C13" i="5"/>
  <c r="C36" i="5"/>
  <c r="D3" i="5"/>
  <c r="D13" i="5"/>
  <c r="D36" i="5"/>
  <c r="E3" i="5"/>
  <c r="E13" i="5"/>
  <c r="E36" i="5"/>
  <c r="F3" i="5"/>
  <c r="F13" i="5"/>
  <c r="F36" i="5"/>
  <c r="G3" i="5"/>
  <c r="G13" i="5"/>
  <c r="G36" i="5"/>
  <c r="H3" i="5"/>
  <c r="H13" i="5"/>
  <c r="H36" i="5"/>
  <c r="I3" i="5"/>
  <c r="I13" i="5"/>
  <c r="I36" i="5"/>
  <c r="J3" i="5"/>
  <c r="J13" i="5"/>
  <c r="J36" i="5"/>
  <c r="K3" i="5"/>
  <c r="K13" i="5"/>
  <c r="K36" i="5"/>
  <c r="L3" i="5"/>
  <c r="L13" i="5"/>
  <c r="L36" i="5"/>
  <c r="M3" i="5"/>
  <c r="M13" i="5"/>
  <c r="M36" i="5"/>
  <c r="N3" i="5"/>
  <c r="N13" i="5"/>
  <c r="N36" i="5"/>
  <c r="D48" i="1"/>
  <c r="E33" i="1"/>
  <c r="I43" i="1"/>
  <c r="E43" i="1"/>
  <c r="D56" i="1"/>
  <c r="D54" i="1"/>
  <c r="D53" i="1"/>
  <c r="I50" i="1"/>
  <c r="C51" i="1"/>
  <c r="D49" i="1"/>
  <c r="D47" i="1"/>
  <c r="I46" i="1"/>
  <c r="C47" i="1"/>
  <c r="I45" i="1"/>
  <c r="C46" i="1"/>
  <c r="I44" i="1"/>
  <c r="C45" i="1"/>
  <c r="C44" i="1"/>
  <c r="E27" i="1"/>
  <c r="E35" i="1"/>
  <c r="E29" i="1"/>
  <c r="D39" i="1"/>
  <c r="E15" i="1"/>
  <c r="E13" i="1"/>
  <c r="E12" i="1"/>
  <c r="E24" i="1"/>
  <c r="E14" i="1"/>
  <c r="E30" i="1"/>
  <c r="D58" i="1"/>
  <c r="I57" i="1"/>
  <c r="C58" i="1"/>
  <c r="I56" i="1"/>
  <c r="C57" i="1"/>
  <c r="I51" i="1"/>
  <c r="C52" i="1"/>
  <c r="D51" i="1"/>
  <c r="D50" i="1"/>
  <c r="I49" i="1"/>
  <c r="C50" i="1"/>
  <c r="I48" i="1"/>
  <c r="C49" i="1"/>
  <c r="I47" i="1"/>
  <c r="C48" i="1"/>
  <c r="D44" i="1"/>
  <c r="D43" i="1"/>
  <c r="D42" i="1"/>
  <c r="I41" i="1"/>
  <c r="C42" i="1"/>
  <c r="I39" i="1"/>
  <c r="E18" i="1"/>
  <c r="E32" i="1"/>
  <c r="J4" i="1"/>
  <c r="E23" i="1"/>
  <c r="E16" i="1"/>
  <c r="E26" i="1"/>
  <c r="E25" i="1"/>
  <c r="D57" i="1"/>
  <c r="I55" i="1"/>
  <c r="C56" i="1"/>
  <c r="I54" i="1"/>
  <c r="C55" i="1"/>
  <c r="I53" i="1"/>
  <c r="C54" i="1"/>
  <c r="D46" i="1"/>
  <c r="D45" i="1"/>
  <c r="D41" i="1"/>
  <c r="D40" i="1"/>
  <c r="E21" i="1"/>
  <c r="E28" i="1"/>
  <c r="E19" i="1"/>
  <c r="E22" i="1"/>
  <c r="E17" i="1"/>
  <c r="D12" i="1"/>
  <c r="G12" i="1"/>
  <c r="E48" i="1"/>
  <c r="F48" i="1"/>
  <c r="E56" i="1"/>
  <c r="F56" i="1"/>
  <c r="F43" i="1"/>
  <c r="E50" i="1"/>
  <c r="E57" i="1"/>
  <c r="E47" i="1"/>
  <c r="F47" i="1"/>
  <c r="E41" i="1"/>
  <c r="F57" i="1"/>
  <c r="G39" i="1"/>
  <c r="C40" i="1"/>
  <c r="F50" i="1"/>
  <c r="E58" i="1"/>
  <c r="F58" i="1"/>
  <c r="E44" i="1"/>
  <c r="F44" i="1"/>
  <c r="E53" i="1"/>
  <c r="F53" i="1"/>
  <c r="E54" i="1"/>
  <c r="F54" i="1"/>
  <c r="E42" i="1"/>
  <c r="E45" i="1"/>
  <c r="F45" i="1"/>
  <c r="F41" i="1"/>
  <c r="E55" i="1"/>
  <c r="F55" i="1"/>
  <c r="F42" i="1"/>
  <c r="E49" i="1"/>
  <c r="F49" i="1"/>
  <c r="E52" i="1"/>
  <c r="F52" i="1"/>
  <c r="E46" i="1"/>
  <c r="F46" i="1"/>
  <c r="E51" i="1"/>
  <c r="F51" i="1"/>
  <c r="H39" i="1"/>
  <c r="I12" i="1"/>
  <c r="F12" i="1"/>
  <c r="E40" i="1"/>
  <c r="F40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2" i="1"/>
  <c r="J12" i="1"/>
  <c r="D1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3" i="1"/>
  <c r="F13" i="1"/>
  <c r="I13" i="1"/>
  <c r="H13" i="1"/>
  <c r="J13" i="1"/>
  <c r="D14" i="1"/>
  <c r="G14" i="1"/>
  <c r="F14" i="1"/>
  <c r="I14" i="1"/>
  <c r="H14" i="1"/>
  <c r="J14" i="1"/>
  <c r="D15" i="1"/>
  <c r="G15" i="1"/>
  <c r="F15" i="1"/>
  <c r="I15" i="1"/>
  <c r="H15" i="1"/>
  <c r="J15" i="1"/>
  <c r="D16" i="1"/>
  <c r="G16" i="1"/>
  <c r="F16" i="1"/>
  <c r="I16" i="1"/>
  <c r="H16" i="1"/>
  <c r="J16" i="1"/>
  <c r="D17" i="1"/>
  <c r="G17" i="1"/>
  <c r="F17" i="1"/>
  <c r="I17" i="1"/>
  <c r="J44" i="1"/>
  <c r="H17" i="1"/>
  <c r="J17" i="1"/>
  <c r="D18" i="1"/>
  <c r="G18" i="1"/>
  <c r="F18" i="1"/>
  <c r="I18" i="1"/>
  <c r="H18" i="1"/>
  <c r="J18" i="1"/>
  <c r="D19" i="1"/>
  <c r="G19" i="1"/>
  <c r="F19" i="1"/>
  <c r="I19" i="1"/>
  <c r="H19" i="1"/>
  <c r="J19" i="1"/>
  <c r="D20" i="1"/>
  <c r="G20" i="1"/>
  <c r="F20" i="1"/>
  <c r="I20" i="1"/>
  <c r="H20" i="1"/>
  <c r="J20" i="1"/>
  <c r="D21" i="1"/>
  <c r="G21" i="1"/>
  <c r="F21" i="1"/>
  <c r="I21" i="1"/>
  <c r="J6" i="1"/>
  <c r="H21" i="1"/>
  <c r="J21" i="1"/>
  <c r="C39" i="1"/>
  <c r="E39" i="1"/>
  <c r="F39" i="1"/>
  <c r="D22" i="1"/>
  <c r="G22" i="1"/>
  <c r="F22" i="1"/>
  <c r="I22" i="1"/>
  <c r="H22" i="1"/>
  <c r="J22" i="1"/>
  <c r="D23" i="1"/>
  <c r="G23" i="1"/>
  <c r="F23" i="1"/>
  <c r="I23" i="1"/>
  <c r="J7" i="1"/>
  <c r="J8" i="1"/>
  <c r="M9" i="1"/>
  <c r="H23" i="1"/>
  <c r="J23" i="1"/>
  <c r="D24" i="1"/>
  <c r="G24" i="1"/>
  <c r="F24" i="1"/>
  <c r="I24" i="1"/>
  <c r="H24" i="1"/>
  <c r="J24" i="1"/>
  <c r="D25" i="1"/>
  <c r="G25" i="1"/>
  <c r="F25" i="1"/>
  <c r="I25" i="1"/>
  <c r="H25" i="1"/>
  <c r="J25" i="1"/>
  <c r="D26" i="1"/>
  <c r="G26" i="1"/>
  <c r="F26" i="1"/>
  <c r="I26" i="1"/>
  <c r="H26" i="1"/>
  <c r="J26" i="1"/>
  <c r="D27" i="1"/>
  <c r="G27" i="1"/>
  <c r="F27" i="1"/>
  <c r="I27" i="1"/>
  <c r="H27" i="1"/>
  <c r="J27" i="1"/>
  <c r="D28" i="1"/>
  <c r="G28" i="1"/>
  <c r="F28" i="1"/>
  <c r="I28" i="1"/>
  <c r="H28" i="1"/>
  <c r="J28" i="1"/>
  <c r="D29" i="1"/>
  <c r="G29" i="1"/>
  <c r="F29" i="1"/>
  <c r="I29" i="1"/>
  <c r="H29" i="1"/>
  <c r="J29" i="1"/>
  <c r="D30" i="1"/>
  <c r="G30" i="1"/>
  <c r="F30" i="1"/>
  <c r="I30" i="1"/>
  <c r="H30" i="1"/>
  <c r="J30" i="1"/>
  <c r="D31" i="1"/>
  <c r="G31" i="1"/>
  <c r="F31" i="1"/>
  <c r="I31" i="1"/>
  <c r="H31" i="1"/>
  <c r="J31" i="1"/>
  <c r="D32" i="1"/>
  <c r="G32" i="1"/>
  <c r="F32" i="1"/>
  <c r="I32" i="1"/>
  <c r="H32" i="1"/>
  <c r="J32" i="1"/>
  <c r="D33" i="1"/>
  <c r="G33" i="1"/>
  <c r="F33" i="1"/>
  <c r="I33" i="1"/>
  <c r="H33" i="1"/>
  <c r="J33" i="1"/>
  <c r="D34" i="1"/>
  <c r="G34" i="1"/>
  <c r="F34" i="1"/>
  <c r="I34" i="1"/>
  <c r="H34" i="1"/>
  <c r="J34" i="1"/>
  <c r="D35" i="1"/>
  <c r="G35" i="1"/>
  <c r="F35" i="1"/>
  <c r="I35" i="1"/>
  <c r="L35" i="1"/>
  <c r="H35" i="1"/>
  <c r="J35" i="1"/>
</calcChain>
</file>

<file path=xl/sharedStrings.xml><?xml version="1.0" encoding="utf-8"?>
<sst xmlns="http://schemas.openxmlformats.org/spreadsheetml/2006/main" count="293" uniqueCount="107">
  <si>
    <t>Loan Amortization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</si>
  <si>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</si>
  <si>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</si>
  <si>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</si>
  <si>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</si>
  <si>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</si>
  <si>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</si>
  <si>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</si>
  <si>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</si>
  <si>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</si>
  <si>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</si>
  <si>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</si>
  <si>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March</t>
  </si>
  <si>
    <t>Sum of all payments</t>
  </si>
  <si>
    <t>Payments in First 12 Months</t>
  </si>
  <si>
    <t>Year</t>
  </si>
  <si>
    <t>Month</t>
  </si>
  <si>
    <t>Beginning Balance</t>
  </si>
  <si>
    <t xml:space="preserve">Payment </t>
  </si>
  <si>
    <t xml:space="preserve">Principal </t>
  </si>
  <si>
    <t xml:space="preserve">Interest </t>
  </si>
  <si>
    <t>Cumulative Principal</t>
  </si>
  <si>
    <t>Cumulative Interest</t>
  </si>
  <si>
    <t>Ending Balance</t>
  </si>
  <si>
    <t>Yearly Schedule of Balances and Payments</t>
  </si>
  <si>
    <t>Payment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</si>
  <si>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</si>
  <si>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</si>
  <si>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</si>
  <si>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</si>
  <si>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</si>
  <si>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</si>
  <si>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</si>
  <si>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</si>
  <si>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</si>
  <si>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</si>
  <si>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</si>
  <si>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</si>
  <si>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</si>
  <si>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</si>
  <si>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</si>
  <si>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</si>
  <si>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</si>
  <si>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</si>
  <si>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</si>
  <si>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</si>
  <si>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Debt Service Schedule</t>
  </si>
  <si>
    <t>Lender / Lease company</t>
  </si>
  <si>
    <t>Pmts</t>
  </si>
  <si>
    <t>Total</t>
  </si>
  <si>
    <t>2011-2012 Income Statement-</t>
  </si>
  <si>
    <t>Opening Cash</t>
  </si>
  <si>
    <t>Income</t>
  </si>
  <si>
    <t>Customer 5</t>
  </si>
  <si>
    <t>Customer 6</t>
  </si>
  <si>
    <t>Total Income</t>
  </si>
  <si>
    <t>Total Cash Available</t>
  </si>
  <si>
    <t>Expenses / Cash out</t>
  </si>
  <si>
    <t>Purchases / COGS</t>
  </si>
  <si>
    <t>Owner Compensation</t>
  </si>
  <si>
    <t>Wages</t>
  </si>
  <si>
    <t>Payroll Taxes</t>
  </si>
  <si>
    <t>Repairs / Maintenance</t>
  </si>
  <si>
    <t>Rents</t>
  </si>
  <si>
    <t>Taxes &amp; Licenses</t>
  </si>
  <si>
    <t>Advertising</t>
  </si>
  <si>
    <t>Fuel</t>
  </si>
  <si>
    <t>Accounting</t>
  </si>
  <si>
    <t>Utilities</t>
  </si>
  <si>
    <t>Insurance</t>
  </si>
  <si>
    <t>Debt Service</t>
  </si>
  <si>
    <t>Registrations</t>
  </si>
  <si>
    <t>Supplies</t>
  </si>
  <si>
    <t>Telephone</t>
  </si>
  <si>
    <t>Office Expense</t>
  </si>
  <si>
    <t>Other</t>
  </si>
  <si>
    <t>Total Cash Out</t>
  </si>
  <si>
    <t>Ending Cash</t>
  </si>
  <si>
    <t>12 Week Rolling Cash Flow Projections-</t>
  </si>
  <si>
    <t>W/E</t>
  </si>
  <si>
    <t xml:space="preserve">2017-2018 Cash Flow Projections- </t>
  </si>
  <si>
    <t>Purchases- COGS</t>
  </si>
  <si>
    <t>Accounting / Legal</t>
  </si>
  <si>
    <t>Owner Draw</t>
  </si>
  <si>
    <t>Assumptions</t>
  </si>
  <si>
    <t xml:space="preserve">2012- 2013 Income Statement- </t>
  </si>
  <si>
    <t xml:space="preserve">2018- 2019 Cash Flow Projections- </t>
  </si>
  <si>
    <t>Sources</t>
  </si>
  <si>
    <t>Uses</t>
  </si>
  <si>
    <t>Borrower</t>
  </si>
  <si>
    <t>Real Estate</t>
  </si>
  <si>
    <t>Lender</t>
  </si>
  <si>
    <t>Equipment</t>
  </si>
  <si>
    <t>Fixtures</t>
  </si>
  <si>
    <t>Inventory</t>
  </si>
  <si>
    <t>Working Capital</t>
  </si>
  <si>
    <t>Totals</t>
  </si>
  <si>
    <t>Collateral Discounting</t>
  </si>
  <si>
    <t>Value</t>
  </si>
  <si>
    <t>Discount Factor</t>
  </si>
  <si>
    <t>Discounted Value</t>
  </si>
  <si>
    <t>FF&amp;E</t>
  </si>
  <si>
    <t>Accounts Receivable</t>
  </si>
  <si>
    <t>Existing loans</t>
  </si>
  <si>
    <t>Loan 1</t>
  </si>
  <si>
    <t>Loan 2</t>
  </si>
  <si>
    <t>New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</si>
</sst>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164" formatCode="&quot;$&quot;#,##0&quot; &quot;;[Red]&quot;(&quot;&quot;$&quot;#,##0&quot;)&quot;"/>
    <numFmt numFmtId="165" formatCode="&quot;$&quot;#,##0"/>
    <numFmt numFmtId="166" formatCode="&quot;$&quot;#,##0.00"/>
    <numFmt numFmtId="167" formatCode="#,##0&quot; &quot;;[Red]&quot;(&quot;#,##0&quot;)&quot;"/>
    <numFmt numFmtId="168" formatCode="#,##0&quot; &quot;;&quot;(&quot;#,##0&quot;)&quot;"/>
    <numFmt numFmtId="169" formatCode="&quot;$&quot;#,##0.00&quot; &quot;;&quot;(&quot;&quot;$&quot;#,##0.00&quot;)&quot;"/>
    <numFmt numFmtId="170" formatCode="0.000%"/>
    <numFmt numFmtId="171" formatCode="0&quot; &quot;"/>
    <numFmt numFmtId="172" formatCode="#,##0.00&quot; &quot;;&quot;(&quot;#,##0.00&quot;)&quot;"/>
    <numFmt numFmtId="173" formatCode="#,##0.00&quot; &quot;;[Red]&quot;(&quot;#,##0.00&quot;)&quot;"/>
    <numFmt numFmtId="174" formatCode="mm/dd/yy"/>
    <numFmt numFmtId="175" formatCode="0&quot; &quot;;[Red]&quot;(&quot;0&quot;)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20"/>
      <color rgb="FF000000"/>
      <name val="Tahoma"/>
      <family val="2"/>
    </font>
    <font>
      <sz val="10"/>
      <color rgb="FF333300"/>
      <name val="Tahoma"/>
      <family val="2"/>
    </font>
    <font>
      <sz val="8"/>
      <color rgb="FF000000"/>
      <name val="Tahoma"/>
      <family val="2"/>
    </font>
    <font>
      <sz val="10"/>
      <color rgb="FF808080"/>
      <name val="Tahoma"/>
      <family val="2"/>
    </font>
    <font>
      <sz val="8"/>
      <color rgb="FF333300"/>
      <name val="Tahoma"/>
      <family val="2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rgb="FF99CCFF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Border="0" applyAlignment="0" applyProtection="0"/>
    <xf numFmtId="49" fontId="1" fillId="0" borderId="0" applyFont="0" applyFill="0" applyBorder="0" applyAlignment="0" applyProtection="0"/>
  </cellStyleXfs>
  <cellXfs count="79">
    <xf numFmtId="0" fontId="0" fillId="0" borderId="0" xfId="0"/>
    <xf numFmtId="167" fontId="3" fillId="0" borderId="0" xfId="4" applyFont="1" applyFill="1" applyAlignment="1">
      <alignment horizontal="left"/>
    </xf>
    <xf numFmtId="168" fontId="4" fillId="0" borderId="0" xfId="4" applyNumberFormat="1" applyFont="1" applyFill="1" applyAlignment="1">
      <alignment horizontal="left"/>
    </xf>
    <xf numFmtId="167" fontId="5" fillId="0" borderId="0" xfId="4" applyFont="1" applyFill="1" applyAlignment="1">
      <alignment horizontal="left"/>
    </xf>
    <xf numFmtId="167" fontId="1" fillId="0" borderId="0" xfId="4" applyFont="1" applyFill="1"/>
    <xf numFmtId="167" fontId="3" fillId="0" borderId="0" xfId="4" applyFont="1" applyFill="1" applyAlignment="1">
      <alignment horizontal="left" vertical="center"/>
    </xf>
    <xf numFmtId="168" fontId="4" fillId="0" borderId="0" xfId="4" applyNumberFormat="1" applyFont="1" applyFill="1" applyAlignment="1">
      <alignment horizontal="left" vertical="center"/>
    </xf>
    <xf numFmtId="167" fontId="5" fillId="0" borderId="0" xfId="4" applyFont="1" applyFill="1" applyAlignment="1">
      <alignment horizontal="left" vertical="center"/>
    </xf>
    <xf numFmtId="167" fontId="6" fillId="0" borderId="0" xfId="4" applyFont="1" applyFill="1" applyAlignment="1">
      <alignment horizontal="left" vertical="center"/>
    </xf>
    <xf numFmtId="169" fontId="7" fillId="0" borderId="1" xfId="4" applyNumberFormat="1" applyFont="1" applyFill="1" applyBorder="1" applyAlignment="1" applyProtection="1">
      <alignment horizontal="left" vertical="center"/>
      <protection locked="0"/>
    </xf>
    <xf numFmtId="169" fontId="3" fillId="2" borderId="1" xfId="4" applyNumberFormat="1" applyFont="1" applyFill="1" applyBorder="1" applyAlignment="1">
      <alignment horizontal="right" vertical="center"/>
    </xf>
    <xf numFmtId="167" fontId="8" fillId="0" borderId="0" xfId="4" applyFont="1" applyFill="1" applyAlignment="1">
      <alignment horizontal="left" vertical="center"/>
    </xf>
    <xf numFmtId="170" fontId="7" fillId="0" borderId="1" xfId="4" applyNumberFormat="1" applyFont="1" applyFill="1" applyBorder="1" applyAlignment="1" applyProtection="1">
      <alignment horizontal="left" vertical="center"/>
      <protection locked="0"/>
    </xf>
    <xf numFmtId="168" fontId="7" fillId="0" borderId="1" xfId="4" applyNumberFormat="1" applyFont="1" applyFill="1" applyBorder="1" applyAlignment="1" applyProtection="1">
      <alignment horizontal="left" vertical="center"/>
      <protection locked="0"/>
    </xf>
    <xf numFmtId="171" fontId="7" fillId="0" borderId="1" xfId="4" applyNumberFormat="1" applyFont="1" applyFill="1" applyBorder="1" applyAlignment="1" applyProtection="1">
      <alignment horizontal="left" vertical="center"/>
      <protection locked="0"/>
    </xf>
    <xf numFmtId="167" fontId="3" fillId="0" borderId="0" xfId="4" applyFont="1" applyFill="1" applyAlignment="1">
      <alignment horizontal="left" vertical="center" wrapText="1"/>
    </xf>
    <xf numFmtId="172" fontId="9" fillId="3" borderId="2" xfId="4" applyNumberFormat="1" applyFont="1" applyFill="1" applyBorder="1" applyAlignment="1">
      <alignment horizontal="left" vertical="center" wrapText="1"/>
    </xf>
    <xf numFmtId="172" fontId="9" fillId="3" borderId="1" xfId="4" applyNumberFormat="1" applyFont="1" applyFill="1" applyBorder="1" applyAlignment="1">
      <alignment horizontal="left" vertical="center" wrapText="1"/>
    </xf>
    <xf numFmtId="167" fontId="9" fillId="3" borderId="3" xfId="4" applyFont="1" applyFill="1" applyBorder="1" applyAlignment="1">
      <alignment horizontal="left" vertical="center" wrapText="1"/>
    </xf>
    <xf numFmtId="167" fontId="5" fillId="0" borderId="0" xfId="4" applyFont="1" applyFill="1" applyAlignment="1">
      <alignment horizontal="left" vertical="center" wrapText="1"/>
    </xf>
    <xf numFmtId="171" fontId="3" fillId="2" borderId="1" xfId="4" applyNumberFormat="1" applyFont="1" applyFill="1" applyBorder="1" applyAlignment="1">
      <alignment horizontal="left" vertical="center"/>
    </xf>
    <xf numFmtId="167" fontId="3" fillId="2" borderId="1" xfId="4" applyFont="1" applyFill="1" applyBorder="1" applyAlignment="1">
      <alignment horizontal="left" vertical="center"/>
    </xf>
    <xf numFmtId="173" fontId="6" fillId="0" borderId="0" xfId="4" applyNumberFormat="1" applyFont="1" applyFill="1" applyAlignment="1">
      <alignment horizontal="left" vertical="center"/>
    </xf>
    <xf numFmtId="171" fontId="3" fillId="2" borderId="0" xfId="4" applyNumberFormat="1" applyFont="1" applyFill="1" applyAlignment="1">
      <alignment horizontal="left" vertical="center"/>
    </xf>
    <xf numFmtId="167" fontId="9" fillId="3" borderId="1" xfId="4" applyFont="1" applyFill="1" applyBorder="1" applyAlignment="1">
      <alignment horizontal="left" vertical="center" wrapText="1"/>
    </xf>
    <xf numFmtId="172" fontId="9" fillId="3" borderId="3" xfId="4" applyNumberFormat="1" applyFont="1" applyFill="1" applyBorder="1" applyAlignment="1">
      <alignment horizontal="left" vertical="center" wrapText="1"/>
    </xf>
    <xf numFmtId="166" fontId="3" fillId="2" borderId="1" xfId="4" applyNumberFormat="1" applyFont="1" applyFill="1" applyBorder="1" applyAlignment="1">
      <alignment horizontal="right" vertical="center"/>
    </xf>
    <xf numFmtId="167" fontId="3" fillId="0" borderId="0" xfId="4" applyFont="1" applyFill="1" applyAlignment="1">
      <alignment horizontal="right" vertical="center"/>
    </xf>
    <xf numFmtId="172" fontId="10" fillId="4" borderId="4" xfId="4" applyNumberFormat="1" applyFont="1" applyFill="1" applyBorder="1" applyAlignment="1">
      <alignment horizontal="left" vertical="center"/>
    </xf>
    <xf numFmtId="172" fontId="5" fillId="4" borderId="5" xfId="4" applyNumberFormat="1" applyFont="1" applyFill="1" applyBorder="1" applyAlignment="1">
      <alignment horizontal="left" vertical="center"/>
    </xf>
    <xf numFmtId="172" fontId="3" fillId="4" borderId="6" xfId="4" applyNumberFormat="1" applyFont="1" applyFill="1" applyBorder="1" applyAlignment="1">
      <alignment horizontal="left" vertical="center"/>
    </xf>
    <xf numFmtId="172" fontId="3" fillId="4" borderId="7" xfId="4" applyNumberFormat="1" applyFont="1" applyFill="1" applyBorder="1" applyAlignment="1">
      <alignment horizontal="left" vertical="center"/>
    </xf>
    <xf numFmtId="172" fontId="5" fillId="4" borderId="0" xfId="4" applyNumberFormat="1" applyFont="1" applyFill="1" applyAlignment="1">
      <alignment horizontal="left" vertical="center"/>
    </xf>
    <xf numFmtId="172" fontId="3" fillId="4" borderId="8" xfId="4" applyNumberFormat="1" applyFont="1" applyFill="1" applyBorder="1" applyAlignment="1">
      <alignment horizontal="left" vertical="center"/>
    </xf>
    <xf numFmtId="171" fontId="3" fillId="4" borderId="7" xfId="4" applyNumberFormat="1" applyFont="1" applyFill="1" applyBorder="1" applyAlignment="1">
      <alignment horizontal="left" vertical="center"/>
    </xf>
    <xf numFmtId="0" fontId="3" fillId="4" borderId="8" xfId="4" applyNumberFormat="1" applyFont="1" applyFill="1" applyBorder="1" applyAlignment="1">
      <alignment horizontal="left" vertical="center"/>
    </xf>
    <xf numFmtId="172" fontId="3" fillId="4" borderId="9" xfId="4" applyNumberFormat="1" applyFont="1" applyFill="1" applyBorder="1" applyAlignment="1">
      <alignment horizontal="left" vertical="center"/>
    </xf>
    <xf numFmtId="172" fontId="5" fillId="4" borderId="10" xfId="4" applyNumberFormat="1" applyFont="1" applyFill="1" applyBorder="1" applyAlignment="1">
      <alignment horizontal="left" vertical="center"/>
    </xf>
    <xf numFmtId="172" fontId="3" fillId="4" borderId="11" xfId="4" applyNumberFormat="1" applyFont="1" applyFill="1" applyBorder="1" applyAlignment="1">
      <alignment horizontal="left" vertical="center"/>
    </xf>
    <xf numFmtId="0" fontId="11" fillId="0" borderId="0" xfId="0" applyFont="1"/>
    <xf numFmtId="16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166" fontId="0" fillId="0" borderId="12" xfId="0" applyNumberFormat="1" applyBorder="1"/>
    <xf numFmtId="0" fontId="0" fillId="4" borderId="0" xfId="0" applyFill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16" fontId="0" fillId="0" borderId="0" xfId="0" applyNumberFormat="1" applyFill="1" applyAlignment="1">
      <alignment horizontal="right"/>
    </xf>
    <xf numFmtId="16" fontId="0" fillId="0" borderId="0" xfId="0" applyNumberFormat="1" applyFill="1"/>
    <xf numFmtId="0" fontId="15" fillId="4" borderId="0" xfId="0" applyFont="1" applyFill="1"/>
    <xf numFmtId="164" fontId="0" fillId="4" borderId="0" xfId="0" applyNumberFormat="1" applyFill="1"/>
    <xf numFmtId="164" fontId="0" fillId="0" borderId="0" xfId="0" applyNumberFormat="1" applyFill="1"/>
    <xf numFmtId="164" fontId="0" fillId="0" borderId="0" xfId="0" applyNumberFormat="1"/>
    <xf numFmtId="164" fontId="0" fillId="0" borderId="12" xfId="0" applyNumberFormat="1" applyBorder="1"/>
    <xf numFmtId="164" fontId="0" fillId="0" borderId="12" xfId="0" applyNumberFormat="1" applyFill="1" applyBorder="1"/>
    <xf numFmtId="0" fontId="11" fillId="5" borderId="0" xfId="0" applyFont="1" applyFill="1"/>
    <xf numFmtId="0" fontId="0" fillId="5" borderId="0" xfId="0" applyFill="1"/>
    <xf numFmtId="164" fontId="0" fillId="5" borderId="0" xfId="0" applyNumberFormat="1" applyFill="1"/>
    <xf numFmtId="0" fontId="15" fillId="0" borderId="0" xfId="0" applyFont="1"/>
    <xf numFmtId="164" fontId="0" fillId="0" borderId="0" xfId="0" applyNumberFormat="1" applyProtection="1">
      <protection locked="0"/>
    </xf>
    <xf numFmtId="0" fontId="0" fillId="0" borderId="0" xfId="0" applyAlignment="1"/>
    <xf numFmtId="165" fontId="0" fillId="0" borderId="12" xfId="0" applyNumberFormat="1" applyBorder="1"/>
    <xf numFmtId="0" fontId="16" fillId="0" borderId="0" xfId="0" applyFont="1" applyAlignment="1">
      <alignment horizontal="right"/>
    </xf>
    <xf numFmtId="0" fontId="0" fillId="0" borderId="0" xfId="0" applyBorder="1"/>
    <xf numFmtId="166" fontId="0" fillId="0" borderId="0" xfId="0" applyNumberFormat="1" applyBorder="1"/>
    <xf numFmtId="16" fontId="11" fillId="0" borderId="0" xfId="0" applyNumberFormat="1" applyFont="1" applyAlignment="1">
      <alignment horizontal="right"/>
    </xf>
    <xf numFmtId="16" fontId="11" fillId="0" borderId="0" xfId="0" applyNumberFormat="1" applyFont="1" applyFill="1" applyAlignment="1">
      <alignment horizontal="right"/>
    </xf>
    <xf numFmtId="1" fontId="0" fillId="0" borderId="0" xfId="0" applyNumberFormat="1"/>
    <xf numFmtId="0" fontId="11" fillId="0" borderId="0" xfId="0" applyFont="1" applyAlignment="1"/>
    <xf numFmtId="44" fontId="1" fillId="0" borderId="0" xfId="1" applyFont="1"/>
    <xf numFmtId="44" fontId="0" fillId="0" borderId="0" xfId="0" applyNumberFormat="1"/>
    <xf numFmtId="164" fontId="0" fillId="6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72" fontId="9" fillId="9" borderId="1" xfId="4" applyNumberFormat="1" applyFont="1" applyFill="1" applyBorder="1" applyAlignment="1">
      <alignment horizontal="left" vertical="center"/>
    </xf>
    <xf numFmtId="167" fontId="7" fillId="0" borderId="1" xfId="4" applyFont="1" applyFill="1" applyBorder="1" applyAlignment="1">
      <alignment horizontal="left" vertical="center"/>
    </xf>
  </cellXfs>
  <cellStyles count="6">
    <cellStyle name="Currency" xfId="1" builtinId="4"/>
    <cellStyle name="Date" xfId="2"/>
    <cellStyle name="Fixed" xfId="3"/>
    <cellStyle name="Normal" xfId="0" builtinId="0" customBuiltin="1"/>
    <cellStyle name="Normal 2" xfId="4"/>
    <cellStyle name="Tex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workbookViewId="0">
      <selection activeCell="M5" sqref="M5"/>
    </sheetView>
  </sheetViews>
  <sheetFormatPr defaultColWidth="9.109375" defaultRowHeight="14.4" x14ac:dyDescent="0.3"/>
  <cols>
    <col min="1" max="1" width="1.6640625" style="4" customWidth="1"/>
    <col min="2" max="2" width="6.109375" style="4" customWidth="1"/>
    <col min="3" max="3" width="13.33203125" style="4" customWidth="1"/>
    <col min="4" max="4" width="14.109375" style="4" customWidth="1"/>
    <col min="5" max="5" width="13.6640625" style="4" customWidth="1"/>
    <col min="6" max="9" width="11.6640625" style="4" customWidth="1"/>
    <col min="10" max="10" width="14.44140625" style="4" customWidth="1"/>
    <col min="11" max="11" width="4.6640625" style="4" customWidth="1"/>
    <col min="12" max="12" width="9.109375" style="4" customWidth="1"/>
    <col min="13" max="16384" width="9.109375" style="4"/>
  </cols>
  <sheetData>
    <row r="1" spans="1:17" ht="48.9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1"/>
    </row>
    <row r="2" spans="1:17" ht="4.5" customHeight="1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7"/>
      <c r="P2" s="7"/>
      <c r="Q2" s="5"/>
    </row>
    <row r="3" spans="1:17" ht="18" customHeight="1" x14ac:dyDescent="0.3">
      <c r="A3" s="5"/>
      <c r="B3" s="77" t="s">
        <v>1</v>
      </c>
      <c r="C3" s="77"/>
      <c r="D3" s="77"/>
      <c r="E3" s="77"/>
      <c r="F3" s="5"/>
      <c r="G3" s="77" t="s">
        <v>2</v>
      </c>
      <c r="H3" s="77"/>
      <c r="I3" s="77"/>
      <c r="J3" s="77"/>
      <c r="K3" s="5"/>
      <c r="L3" s="5"/>
      <c r="M3" s="5"/>
      <c r="N3" s="7"/>
      <c r="O3" s="7"/>
      <c r="P3" s="7"/>
      <c r="Q3" s="5"/>
    </row>
    <row r="4" spans="1:17" ht="12" customHeight="1" x14ac:dyDescent="0.3">
      <c r="A4" s="8"/>
      <c r="B4" s="78" t="s">
        <v>3</v>
      </c>
      <c r="C4" s="78"/>
      <c r="D4" s="78"/>
      <c r="E4" s="9">
        <v>750000</v>
      </c>
      <c r="F4" s="5"/>
      <c r="G4" s="78" t="s">
        <v>4</v>
      </c>
      <c r="H4" s="78"/>
      <c r="I4" s="78"/>
      <c r="J4" s="10">
        <f>IF(AND(ISNUMBER(E4),ISNUMBER(E5),ISNUMBER(E6),ISNUMBER(E7)),J5*12,"")</f>
        <v>61909.799999999996</v>
      </c>
      <c r="K4" s="8"/>
      <c r="L4" s="8"/>
      <c r="M4" s="8"/>
      <c r="N4" s="11"/>
      <c r="O4" s="11"/>
      <c r="P4" s="11"/>
      <c r="Q4" s="8"/>
    </row>
    <row r="5" spans="1:17" ht="12" customHeight="1" x14ac:dyDescent="0.3">
      <c r="A5" s="8"/>
      <c r="B5" s="78" t="s">
        <v>5</v>
      </c>
      <c r="C5" s="78"/>
      <c r="D5" s="78"/>
      <c r="E5" s="12">
        <v>5.5E-2</v>
      </c>
      <c r="F5" s="5"/>
      <c r="G5" s="78" t="s">
        <v>6</v>
      </c>
      <c r="H5" s="78"/>
      <c r="I5" s="78"/>
      <c r="J5" s="10">
        <f>IF(AND(ISNUMBER(E4),ISNUMBER(E5),ISNUMBER(E6),ISNUMBER(E7)),ROUND(PMT(E5/12,Q220,-E4),2),"")</f>
        <v>5159.1499999999996</v>
      </c>
      <c r="K5" s="8"/>
      <c r="L5" s="8"/>
      <c r="M5" s="8"/>
      <c r="N5" s="11"/>
      <c r="O5" s="11"/>
      <c r="P5" s="11"/>
      <c r="Q5" s="8"/>
    </row>
    <row r="6" spans="1:17" ht="12" customHeight="1" x14ac:dyDescent="0.3">
      <c r="A6" s="8"/>
      <c r="B6" s="78" t="s">
        <v>7</v>
      </c>
      <c r="C6" s="78"/>
      <c r="D6" s="78"/>
      <c r="E6" s="13">
        <v>20</v>
      </c>
      <c r="F6" s="5"/>
      <c r="G6" s="78" t="s">
        <v>8</v>
      </c>
      <c r="H6" s="78"/>
      <c r="I6" s="78"/>
      <c r="J6" s="10">
        <f>IF(AND(ISNUMBER(E4),ISNUMBER(E5),ISNUMBER(E6),ISNUMBER(E7)),VLOOKUP("Dec",C12:J23,7,0),"")</f>
        <v>34015.54</v>
      </c>
      <c r="K6" s="8"/>
      <c r="L6" s="8"/>
      <c r="M6" s="8"/>
      <c r="N6" s="11"/>
      <c r="O6" s="11"/>
      <c r="P6" s="11"/>
      <c r="Q6" s="8"/>
    </row>
    <row r="7" spans="1:17" ht="12" customHeight="1" x14ac:dyDescent="0.3">
      <c r="A7" s="8"/>
      <c r="B7" s="78" t="s">
        <v>9</v>
      </c>
      <c r="C7" s="78"/>
      <c r="D7" s="78"/>
      <c r="E7" s="14">
        <v>2009</v>
      </c>
      <c r="F7" s="5"/>
      <c r="G7" s="78" t="s">
        <v>10</v>
      </c>
      <c r="H7" s="78"/>
      <c r="I7" s="78"/>
      <c r="J7" s="10">
        <f>IF(AND(ISNUMBER(E4),ISNUMBER(E5),ISNUMBER(E6),ISNUMBER(E7)),MAX(I23,H39:H68),"")</f>
        <v>488195.99999999988</v>
      </c>
      <c r="K7" s="8"/>
      <c r="L7" s="8"/>
      <c r="M7" s="8"/>
      <c r="N7" s="11"/>
      <c r="O7" s="11"/>
      <c r="P7" s="11"/>
      <c r="Q7" s="8"/>
    </row>
    <row r="8" spans="1:17" ht="12" customHeight="1" x14ac:dyDescent="0.3">
      <c r="A8" s="8"/>
      <c r="B8" s="78" t="s">
        <v>11</v>
      </c>
      <c r="C8" s="78"/>
      <c r="D8" s="78"/>
      <c r="E8" s="13" t="s">
        <v>12</v>
      </c>
      <c r="F8" s="5"/>
      <c r="G8" s="78" t="s">
        <v>13</v>
      </c>
      <c r="H8" s="78"/>
      <c r="I8" s="78"/>
      <c r="J8" s="10">
        <f>IF(AND(ISNUMBER(E4),ISNUMBER(E5),ISNUMBER(E6),ISNUMBER(E7)),J7+E4,"")</f>
        <v>1238196</v>
      </c>
      <c r="K8" s="8"/>
      <c r="L8" s="8"/>
      <c r="M8" s="8"/>
      <c r="N8" s="11"/>
      <c r="O8" s="11"/>
      <c r="P8" s="11"/>
      <c r="Q8" s="8"/>
    </row>
    <row r="9" spans="1:17" ht="9.9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f>SUM(G12:G23)</f>
        <v>40721.160000000003</v>
      </c>
      <c r="N9" s="7"/>
      <c r="O9" s="7"/>
      <c r="P9" s="7"/>
      <c r="Q9" s="5"/>
    </row>
    <row r="10" spans="1:17" ht="18" customHeight="1" x14ac:dyDescent="0.3">
      <c r="A10" s="5"/>
      <c r="B10" s="77" t="s">
        <v>14</v>
      </c>
      <c r="C10" s="77"/>
      <c r="D10" s="77"/>
      <c r="E10" s="77"/>
      <c r="F10" s="77"/>
      <c r="G10" s="77"/>
      <c r="H10" s="77"/>
      <c r="I10" s="77"/>
      <c r="J10" s="77"/>
      <c r="K10" s="5"/>
      <c r="L10" s="5"/>
      <c r="M10" s="5"/>
      <c r="N10" s="7"/>
      <c r="O10" s="7"/>
      <c r="P10" s="7"/>
      <c r="Q10" s="5"/>
    </row>
    <row r="11" spans="1:17" ht="27" customHeight="1" x14ac:dyDescent="0.3">
      <c r="A11" s="15"/>
      <c r="B11" s="16" t="s">
        <v>15</v>
      </c>
      <c r="C11" s="17" t="s">
        <v>16</v>
      </c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17" t="s">
        <v>22</v>
      </c>
      <c r="J11" s="18" t="s">
        <v>23</v>
      </c>
      <c r="K11" s="15"/>
      <c r="L11" s="15"/>
      <c r="M11" s="15"/>
      <c r="N11" s="19"/>
      <c r="O11" s="19"/>
      <c r="P11" s="19"/>
      <c r="Q11" s="15"/>
    </row>
    <row r="12" spans="1:17" ht="11.7" customHeight="1" x14ac:dyDescent="0.3">
      <c r="A12" s="8"/>
      <c r="B12" s="20">
        <v>2010</v>
      </c>
      <c r="C12" s="21" t="str">
        <f>VLOOKUP(O204,M204:N215,2)</f>
        <v>Mar</v>
      </c>
      <c r="D12" s="10">
        <f>IF(ISTEXT(J4),"",E4)</f>
        <v>750000</v>
      </c>
      <c r="E12" s="10">
        <f t="shared" ref="E12:E35" si="0">IF(ISTEXT(J$5),"",J$5)</f>
        <v>5159.1499999999996</v>
      </c>
      <c r="F12" s="10">
        <f t="shared" ref="F12:F35" si="1">IF(ISTEXT(J$4),"",E12-G12)</f>
        <v>1721.6499999999996</v>
      </c>
      <c r="G12" s="10">
        <f t="shared" ref="G12:G35" si="2">IF(ISTEXT(J$4),"",ROUND(D12*(E$5/12),2))</f>
        <v>3437.5</v>
      </c>
      <c r="H12" s="10">
        <f>IF(ISTEXT($J$4),"",SUM(F$12:F12))</f>
        <v>1721.6499999999996</v>
      </c>
      <c r="I12" s="10">
        <f>IF(ISTEXT($J$4),"",SUM(G$12:G12))</f>
        <v>3437.5</v>
      </c>
      <c r="J12" s="10">
        <f t="shared" ref="J12:J35" si="3">IF(ISTEXT(J$4),"",D12-F12)</f>
        <v>748278.35</v>
      </c>
      <c r="K12" s="8"/>
      <c r="L12" s="8"/>
      <c r="M12" s="8"/>
      <c r="N12" s="11"/>
      <c r="O12" s="11"/>
      <c r="P12" s="11"/>
      <c r="Q12" s="8"/>
    </row>
    <row r="13" spans="1:17" ht="11.7" customHeight="1" x14ac:dyDescent="0.3">
      <c r="A13" s="8"/>
      <c r="B13" s="20" t="str">
        <f>IF(O205=1,E7+1,"")</f>
        <v/>
      </c>
      <c r="C13" s="21" t="str">
        <f>VLOOKUP(O205,M204:N215,2)</f>
        <v>Apr</v>
      </c>
      <c r="D13" s="10">
        <f t="shared" ref="D13:D35" si="4">IF(ISTEXT(J$4),"",J12)</f>
        <v>748278.35</v>
      </c>
      <c r="E13" s="10">
        <f t="shared" si="0"/>
        <v>5159.1499999999996</v>
      </c>
      <c r="F13" s="10">
        <f t="shared" si="1"/>
        <v>1729.5399999999995</v>
      </c>
      <c r="G13" s="10">
        <f t="shared" si="2"/>
        <v>3429.61</v>
      </c>
      <c r="H13" s="10">
        <f>IF(ISTEXT($J$4),"",SUM(F$12:F13))</f>
        <v>3451.1899999999991</v>
      </c>
      <c r="I13" s="10">
        <f>IF(ISTEXT($J$4),"",SUM(G$12:G13))</f>
        <v>6867.1100000000006</v>
      </c>
      <c r="J13" s="10">
        <f t="shared" si="3"/>
        <v>746548.80999999994</v>
      </c>
      <c r="K13" s="8"/>
      <c r="L13" s="8"/>
      <c r="M13" s="8"/>
      <c r="N13" s="11"/>
      <c r="O13" s="11"/>
      <c r="P13" s="11"/>
      <c r="Q13" s="8"/>
    </row>
    <row r="14" spans="1:17" ht="11.7" customHeight="1" x14ac:dyDescent="0.3">
      <c r="A14" s="8"/>
      <c r="B14" s="20" t="str">
        <f>IF(O206=1,E7+1,"")</f>
        <v/>
      </c>
      <c r="C14" s="21" t="str">
        <f>VLOOKUP(O206,M204:N215,2)</f>
        <v>May</v>
      </c>
      <c r="D14" s="10">
        <f t="shared" si="4"/>
        <v>746548.80999999994</v>
      </c>
      <c r="E14" s="10">
        <f t="shared" si="0"/>
        <v>5159.1499999999996</v>
      </c>
      <c r="F14" s="10">
        <f t="shared" si="1"/>
        <v>1737.4699999999998</v>
      </c>
      <c r="G14" s="10">
        <f t="shared" si="2"/>
        <v>3421.68</v>
      </c>
      <c r="H14" s="10">
        <f>IF(ISTEXT($J$4),"",SUM(F$12:F14))</f>
        <v>5188.6599999999989</v>
      </c>
      <c r="I14" s="10">
        <f>IF(ISTEXT($J$4),"",SUM(G$12:G14))</f>
        <v>10288.790000000001</v>
      </c>
      <c r="J14" s="10">
        <f t="shared" si="3"/>
        <v>744811.34</v>
      </c>
      <c r="K14" s="8"/>
      <c r="L14" s="8"/>
      <c r="M14" s="8"/>
      <c r="N14" s="11"/>
      <c r="O14" s="11"/>
      <c r="P14" s="11"/>
      <c r="Q14" s="8"/>
    </row>
    <row r="15" spans="1:17" ht="11.7" customHeight="1" x14ac:dyDescent="0.3">
      <c r="A15" s="8"/>
      <c r="B15" s="20" t="str">
        <f>IF(O207=1,E7+1,"")</f>
        <v/>
      </c>
      <c r="C15" s="21" t="str">
        <f>VLOOKUP(O207,M204:N215,2)</f>
        <v>Jun</v>
      </c>
      <c r="D15" s="10">
        <f t="shared" si="4"/>
        <v>744811.34</v>
      </c>
      <c r="E15" s="10">
        <f t="shared" si="0"/>
        <v>5159.1499999999996</v>
      </c>
      <c r="F15" s="10">
        <f t="shared" si="1"/>
        <v>1745.4299999999998</v>
      </c>
      <c r="G15" s="10">
        <f t="shared" si="2"/>
        <v>3413.72</v>
      </c>
      <c r="H15" s="10">
        <f>IF(ISTEXT($J$4),"",SUM(F$12:F15))</f>
        <v>6934.0899999999983</v>
      </c>
      <c r="I15" s="10">
        <f>IF(ISTEXT($J$4),"",SUM(G$12:G15))</f>
        <v>13702.51</v>
      </c>
      <c r="J15" s="10">
        <f t="shared" si="3"/>
        <v>743065.90999999992</v>
      </c>
      <c r="K15" s="8"/>
      <c r="L15" s="8"/>
      <c r="M15" s="8"/>
      <c r="N15" s="11"/>
      <c r="O15" s="11"/>
      <c r="P15" s="11"/>
      <c r="Q15" s="8"/>
    </row>
    <row r="16" spans="1:17" ht="11.7" customHeight="1" x14ac:dyDescent="0.3">
      <c r="A16" s="8"/>
      <c r="B16" s="20" t="str">
        <f>IF(O208=1,E7+1,"")</f>
        <v/>
      </c>
      <c r="C16" s="21" t="str">
        <f>VLOOKUP(O208,M204:N215,2)</f>
        <v>Jul</v>
      </c>
      <c r="D16" s="10">
        <f t="shared" si="4"/>
        <v>743065.90999999992</v>
      </c>
      <c r="E16" s="10">
        <f t="shared" si="0"/>
        <v>5159.1499999999996</v>
      </c>
      <c r="F16" s="10">
        <f t="shared" si="1"/>
        <v>1753.4299999999998</v>
      </c>
      <c r="G16" s="10">
        <f t="shared" si="2"/>
        <v>3405.72</v>
      </c>
      <c r="H16" s="10">
        <f>IF(ISTEXT($J$4),"",SUM(F$12:F16))</f>
        <v>8687.5199999999986</v>
      </c>
      <c r="I16" s="10">
        <f>IF(ISTEXT($J$4),"",SUM(G$12:G16))</f>
        <v>17108.23</v>
      </c>
      <c r="J16" s="10">
        <f t="shared" si="3"/>
        <v>741312.47999999986</v>
      </c>
      <c r="K16" s="8"/>
      <c r="L16" s="8"/>
      <c r="M16" s="8"/>
      <c r="N16" s="11"/>
      <c r="O16" s="11"/>
      <c r="P16" s="11"/>
      <c r="Q16" s="8"/>
    </row>
    <row r="17" spans="1:17" ht="11.7" customHeight="1" x14ac:dyDescent="0.3">
      <c r="A17" s="8"/>
      <c r="B17" s="20" t="str">
        <f>IF(O209=1,E7+1,"")</f>
        <v/>
      </c>
      <c r="C17" s="21" t="str">
        <f>VLOOKUP(O209,M204:N215,2)</f>
        <v>Aug</v>
      </c>
      <c r="D17" s="10">
        <f t="shared" si="4"/>
        <v>741312.47999999986</v>
      </c>
      <c r="E17" s="10">
        <f t="shared" si="0"/>
        <v>5159.1499999999996</v>
      </c>
      <c r="F17" s="10">
        <f t="shared" si="1"/>
        <v>1761.4699999999998</v>
      </c>
      <c r="G17" s="10">
        <f t="shared" si="2"/>
        <v>3397.68</v>
      </c>
      <c r="H17" s="10">
        <f>IF(ISTEXT($J$4),"",SUM(F$12:F17))</f>
        <v>10448.989999999998</v>
      </c>
      <c r="I17" s="10">
        <f>IF(ISTEXT($J$4),"",SUM(G$12:G17))</f>
        <v>20505.91</v>
      </c>
      <c r="J17" s="10">
        <f t="shared" si="3"/>
        <v>739551.00999999989</v>
      </c>
      <c r="K17" s="8"/>
      <c r="L17" s="8"/>
      <c r="M17" s="8"/>
      <c r="N17" s="11"/>
      <c r="O17" s="11"/>
      <c r="P17" s="11"/>
      <c r="Q17" s="8"/>
    </row>
    <row r="18" spans="1:17" ht="11.7" customHeight="1" x14ac:dyDescent="0.3">
      <c r="A18" s="8"/>
      <c r="B18" s="20" t="str">
        <f>IF(O210=1,E7+1,"")</f>
        <v/>
      </c>
      <c r="C18" s="21" t="str">
        <f>VLOOKUP(O210,M204:N215,2)</f>
        <v>Sep</v>
      </c>
      <c r="D18" s="10">
        <f t="shared" si="4"/>
        <v>739551.00999999989</v>
      </c>
      <c r="E18" s="10">
        <f t="shared" si="0"/>
        <v>5159.1499999999996</v>
      </c>
      <c r="F18" s="10">
        <f t="shared" si="1"/>
        <v>1769.5399999999995</v>
      </c>
      <c r="G18" s="10">
        <f t="shared" si="2"/>
        <v>3389.61</v>
      </c>
      <c r="H18" s="10">
        <f>IF(ISTEXT($J$4),"",SUM(F$12:F18))</f>
        <v>12218.529999999997</v>
      </c>
      <c r="I18" s="10">
        <f>IF(ISTEXT($J$4),"",SUM(G$12:G18))</f>
        <v>23895.52</v>
      </c>
      <c r="J18" s="10">
        <f t="shared" si="3"/>
        <v>737781.46999999986</v>
      </c>
      <c r="K18" s="8"/>
      <c r="L18" s="8"/>
      <c r="M18" s="8"/>
      <c r="N18" s="11"/>
      <c r="O18" s="11"/>
      <c r="P18" s="11"/>
      <c r="Q18" s="8"/>
    </row>
    <row r="19" spans="1:17" ht="11.7" customHeight="1" x14ac:dyDescent="0.3">
      <c r="A19" s="8"/>
      <c r="B19" s="20" t="str">
        <f>IF(O211=1,E7+1,"")</f>
        <v/>
      </c>
      <c r="C19" s="21" t="str">
        <f>VLOOKUP(O211,M204:N215,2)</f>
        <v>Oct</v>
      </c>
      <c r="D19" s="10">
        <f t="shared" si="4"/>
        <v>737781.46999999986</v>
      </c>
      <c r="E19" s="10">
        <f t="shared" si="0"/>
        <v>5159.1499999999996</v>
      </c>
      <c r="F19" s="10">
        <f t="shared" si="1"/>
        <v>1777.6499999999996</v>
      </c>
      <c r="G19" s="10">
        <f t="shared" si="2"/>
        <v>3381.5</v>
      </c>
      <c r="H19" s="10">
        <f>IF(ISTEXT($J$4),"",SUM(F$12:F19))</f>
        <v>13996.179999999997</v>
      </c>
      <c r="I19" s="10">
        <f>IF(ISTEXT($J$4),"",SUM(G$12:G19))</f>
        <v>27277.02</v>
      </c>
      <c r="J19" s="10">
        <f t="shared" si="3"/>
        <v>736003.81999999983</v>
      </c>
      <c r="K19" s="8"/>
      <c r="L19" s="8"/>
      <c r="M19" s="8"/>
      <c r="N19" s="11"/>
      <c r="O19" s="11"/>
      <c r="P19" s="11"/>
      <c r="Q19" s="8"/>
    </row>
    <row r="20" spans="1:17" ht="11.7" customHeight="1" x14ac:dyDescent="0.3">
      <c r="A20" s="8"/>
      <c r="B20" s="20" t="str">
        <f>IF(O212=1,E7+1,"")</f>
        <v/>
      </c>
      <c r="C20" s="21" t="str">
        <f>VLOOKUP(O212,M204:N215,2)</f>
        <v>Nov</v>
      </c>
      <c r="D20" s="10">
        <f t="shared" si="4"/>
        <v>736003.81999999983</v>
      </c>
      <c r="E20" s="10">
        <f t="shared" si="0"/>
        <v>5159.1499999999996</v>
      </c>
      <c r="F20" s="10">
        <f t="shared" si="1"/>
        <v>1785.7999999999997</v>
      </c>
      <c r="G20" s="10">
        <f t="shared" si="2"/>
        <v>3373.35</v>
      </c>
      <c r="H20" s="10">
        <f>IF(ISTEXT($J$4),"",SUM(F$12:F20))</f>
        <v>15781.979999999996</v>
      </c>
      <c r="I20" s="10">
        <f>IF(ISTEXT($J$4),"",SUM(G$12:G20))</f>
        <v>30650.37</v>
      </c>
      <c r="J20" s="10">
        <f t="shared" si="3"/>
        <v>734218.01999999979</v>
      </c>
      <c r="K20" s="8"/>
      <c r="L20" s="8"/>
      <c r="M20" s="8"/>
      <c r="N20" s="11"/>
      <c r="O20" s="11"/>
      <c r="P20" s="11"/>
      <c r="Q20" s="8"/>
    </row>
    <row r="21" spans="1:17" ht="11.7" customHeight="1" x14ac:dyDescent="0.3">
      <c r="A21" s="8"/>
      <c r="B21" s="20" t="str">
        <f>IF(O213=1,E7+1,"")</f>
        <v/>
      </c>
      <c r="C21" s="20" t="str">
        <f>VLOOKUP(O213,M204:N215,2)</f>
        <v>Dec</v>
      </c>
      <c r="D21" s="10">
        <f t="shared" si="4"/>
        <v>734218.01999999979</v>
      </c>
      <c r="E21" s="10">
        <f t="shared" si="0"/>
        <v>5159.1499999999996</v>
      </c>
      <c r="F21" s="10">
        <f t="shared" si="1"/>
        <v>1793.9799999999996</v>
      </c>
      <c r="G21" s="10">
        <f t="shared" si="2"/>
        <v>3365.17</v>
      </c>
      <c r="H21" s="10">
        <f>IF(ISTEXT($J$4),"",SUM(F$12:F21))</f>
        <v>17575.959999999995</v>
      </c>
      <c r="I21" s="10">
        <f>IF(ISTEXT($J$4),"",SUM(G$12:G21))</f>
        <v>34015.54</v>
      </c>
      <c r="J21" s="10">
        <f t="shared" si="3"/>
        <v>732424.0399999998</v>
      </c>
      <c r="K21" s="8"/>
      <c r="L21" s="8"/>
      <c r="M21" s="8"/>
      <c r="N21" s="11"/>
      <c r="O21" s="11"/>
      <c r="P21" s="11"/>
      <c r="Q21" s="8"/>
    </row>
    <row r="22" spans="1:17" ht="11.7" customHeight="1" x14ac:dyDescent="0.3">
      <c r="A22" s="8"/>
      <c r="B22" s="20">
        <f>IF(O214=1,E7+1,"")</f>
        <v>2010</v>
      </c>
      <c r="C22" s="21" t="str">
        <f>VLOOKUP(O214,M204:N215,2)</f>
        <v>Jan</v>
      </c>
      <c r="D22" s="10">
        <f t="shared" si="4"/>
        <v>732424.0399999998</v>
      </c>
      <c r="E22" s="10">
        <f t="shared" si="0"/>
        <v>5159.1499999999996</v>
      </c>
      <c r="F22" s="10">
        <f t="shared" si="1"/>
        <v>1802.2099999999996</v>
      </c>
      <c r="G22" s="10">
        <f t="shared" si="2"/>
        <v>3356.94</v>
      </c>
      <c r="H22" s="10">
        <f>IF(ISTEXT($J$4),"",SUM(F$12:F22))</f>
        <v>19378.169999999995</v>
      </c>
      <c r="I22" s="10">
        <f>IF(ISTEXT($J$4),"",SUM(G$12:G22))</f>
        <v>37372.480000000003</v>
      </c>
      <c r="J22" s="10">
        <f t="shared" si="3"/>
        <v>730621.82999999984</v>
      </c>
      <c r="K22" s="8"/>
      <c r="L22" s="8"/>
      <c r="M22" s="8"/>
      <c r="N22" s="11"/>
      <c r="O22" s="11"/>
      <c r="P22" s="11"/>
      <c r="Q22" s="8"/>
    </row>
    <row r="23" spans="1:17" ht="11.7" customHeight="1" x14ac:dyDescent="0.3">
      <c r="A23" s="8"/>
      <c r="B23" s="20" t="str">
        <f>IF(O215=1,E7+1,"")</f>
        <v/>
      </c>
      <c r="C23" s="21" t="str">
        <f t="shared" ref="C23:C35" si="5">VLOOKUP(O215,M204:N215,2)</f>
        <v>Feb</v>
      </c>
      <c r="D23" s="10">
        <f t="shared" si="4"/>
        <v>730621.82999999984</v>
      </c>
      <c r="E23" s="10">
        <f t="shared" si="0"/>
        <v>5159.1499999999996</v>
      </c>
      <c r="F23" s="10">
        <f t="shared" si="1"/>
        <v>1810.4699999999998</v>
      </c>
      <c r="G23" s="10">
        <f t="shared" si="2"/>
        <v>3348.68</v>
      </c>
      <c r="H23" s="10">
        <f>IF(ISTEXT($J$4),"",SUM(F$12:F23))</f>
        <v>21188.639999999996</v>
      </c>
      <c r="I23" s="10">
        <f>IF(ISTEXT($J$4),"",SUM(G$12:G23))</f>
        <v>40721.160000000003</v>
      </c>
      <c r="J23" s="10">
        <f t="shared" si="3"/>
        <v>728811.35999999987</v>
      </c>
      <c r="K23" s="8"/>
      <c r="L23" s="22"/>
      <c r="M23" s="8"/>
      <c r="N23" s="11"/>
      <c r="O23" s="11"/>
      <c r="P23" s="11"/>
      <c r="Q23" s="8"/>
    </row>
    <row r="24" spans="1:17" ht="11.7" customHeight="1" x14ac:dyDescent="0.3">
      <c r="A24" s="8"/>
      <c r="B24" s="23"/>
      <c r="C24" s="21" t="e">
        <f t="shared" si="5"/>
        <v>#N/A</v>
      </c>
      <c r="D24" s="10">
        <f t="shared" si="4"/>
        <v>728811.35999999987</v>
      </c>
      <c r="E24" s="10">
        <f t="shared" si="0"/>
        <v>5159.1499999999996</v>
      </c>
      <c r="F24" s="10">
        <f t="shared" si="1"/>
        <v>1818.7599999999998</v>
      </c>
      <c r="G24" s="10">
        <f t="shared" si="2"/>
        <v>3340.39</v>
      </c>
      <c r="H24" s="10">
        <f>IF(ISTEXT($J$4),"",SUM(F$12:F24))</f>
        <v>23007.399999999994</v>
      </c>
      <c r="I24" s="10">
        <f>IF(ISTEXT($J$4),"",SUM(G$12:G24))</f>
        <v>44061.55</v>
      </c>
      <c r="J24" s="10">
        <f t="shared" si="3"/>
        <v>726992.59999999986</v>
      </c>
      <c r="K24" s="8"/>
      <c r="L24" s="22"/>
      <c r="M24" s="8"/>
      <c r="N24" s="11"/>
      <c r="O24" s="11"/>
      <c r="P24" s="11"/>
      <c r="Q24" s="8"/>
    </row>
    <row r="25" spans="1:17" ht="11.7" customHeight="1" x14ac:dyDescent="0.3">
      <c r="A25" s="8"/>
      <c r="B25" s="23"/>
      <c r="C25" s="21" t="e">
        <f t="shared" si="5"/>
        <v>#N/A</v>
      </c>
      <c r="D25" s="10">
        <f t="shared" si="4"/>
        <v>726992.59999999986</v>
      </c>
      <c r="E25" s="10">
        <f t="shared" si="0"/>
        <v>5159.1499999999996</v>
      </c>
      <c r="F25" s="10">
        <f t="shared" si="1"/>
        <v>1827.0999999999995</v>
      </c>
      <c r="G25" s="10">
        <f t="shared" si="2"/>
        <v>3332.05</v>
      </c>
      <c r="H25" s="10">
        <f>IF(ISTEXT($J$4),"",SUM(F$12:F25))</f>
        <v>24834.499999999993</v>
      </c>
      <c r="I25" s="10">
        <f>IF(ISTEXT($J$4),"",SUM(G$12:G25))</f>
        <v>47393.600000000006</v>
      </c>
      <c r="J25" s="10">
        <f t="shared" si="3"/>
        <v>725165.49999999988</v>
      </c>
      <c r="K25" s="8"/>
      <c r="L25" s="22"/>
      <c r="M25" s="8"/>
      <c r="N25" s="11"/>
      <c r="O25" s="11"/>
      <c r="P25" s="11"/>
      <c r="Q25" s="8"/>
    </row>
    <row r="26" spans="1:17" ht="11.7" customHeight="1" x14ac:dyDescent="0.3">
      <c r="A26" s="8"/>
      <c r="B26" s="23"/>
      <c r="C26" s="21" t="e">
        <f t="shared" si="5"/>
        <v>#N/A</v>
      </c>
      <c r="D26" s="10">
        <f t="shared" si="4"/>
        <v>725165.49999999988</v>
      </c>
      <c r="E26" s="10">
        <f t="shared" si="0"/>
        <v>5159.1499999999996</v>
      </c>
      <c r="F26" s="10">
        <f t="shared" si="1"/>
        <v>1835.4699999999998</v>
      </c>
      <c r="G26" s="10">
        <f t="shared" si="2"/>
        <v>3323.68</v>
      </c>
      <c r="H26" s="10">
        <f>IF(ISTEXT($J$4),"",SUM(F$12:F26))</f>
        <v>26669.969999999994</v>
      </c>
      <c r="I26" s="10">
        <f>IF(ISTEXT($J$4),"",SUM(G$12:G26))</f>
        <v>50717.280000000006</v>
      </c>
      <c r="J26" s="10">
        <f t="shared" si="3"/>
        <v>723330.02999999991</v>
      </c>
      <c r="K26" s="8"/>
      <c r="L26" s="22"/>
      <c r="M26" s="8"/>
      <c r="N26" s="11"/>
      <c r="O26" s="11"/>
      <c r="P26" s="11"/>
      <c r="Q26" s="8"/>
    </row>
    <row r="27" spans="1:17" ht="11.7" customHeight="1" x14ac:dyDescent="0.3">
      <c r="A27" s="8"/>
      <c r="B27" s="23"/>
      <c r="C27" s="21" t="e">
        <f t="shared" si="5"/>
        <v>#N/A</v>
      </c>
      <c r="D27" s="10">
        <f t="shared" si="4"/>
        <v>723330.02999999991</v>
      </c>
      <c r="E27" s="10">
        <f t="shared" si="0"/>
        <v>5159.1499999999996</v>
      </c>
      <c r="F27" s="10">
        <f t="shared" si="1"/>
        <v>1843.8899999999994</v>
      </c>
      <c r="G27" s="10">
        <f t="shared" si="2"/>
        <v>3315.26</v>
      </c>
      <c r="H27" s="10">
        <f>IF(ISTEXT($J$4),"",SUM(F$12:F27))</f>
        <v>28513.859999999993</v>
      </c>
      <c r="I27" s="10">
        <f>IF(ISTEXT($J$4),"",SUM(G$12:G27))</f>
        <v>54032.540000000008</v>
      </c>
      <c r="J27" s="10">
        <f t="shared" si="3"/>
        <v>721486.1399999999</v>
      </c>
      <c r="K27" s="8"/>
      <c r="L27" s="22"/>
      <c r="M27" s="8"/>
      <c r="N27" s="11"/>
      <c r="O27" s="11"/>
      <c r="P27" s="11"/>
      <c r="Q27" s="8"/>
    </row>
    <row r="28" spans="1:17" ht="11.7" customHeight="1" x14ac:dyDescent="0.3">
      <c r="A28" s="8"/>
      <c r="B28" s="23"/>
      <c r="C28" s="21" t="e">
        <f t="shared" si="5"/>
        <v>#N/A</v>
      </c>
      <c r="D28" s="10">
        <f t="shared" si="4"/>
        <v>721486.1399999999</v>
      </c>
      <c r="E28" s="10">
        <f t="shared" si="0"/>
        <v>5159.1499999999996</v>
      </c>
      <c r="F28" s="10">
        <f t="shared" si="1"/>
        <v>1852.3399999999997</v>
      </c>
      <c r="G28" s="10">
        <f t="shared" si="2"/>
        <v>3306.81</v>
      </c>
      <c r="H28" s="10">
        <f>IF(ISTEXT($J$4),"",SUM(F$12:F28))</f>
        <v>30366.199999999993</v>
      </c>
      <c r="I28" s="10">
        <f>IF(ISTEXT($J$4),"",SUM(G$12:G28))</f>
        <v>57339.350000000006</v>
      </c>
      <c r="J28" s="10">
        <f t="shared" si="3"/>
        <v>719633.79999999993</v>
      </c>
      <c r="K28" s="8"/>
      <c r="L28" s="22"/>
      <c r="M28" s="8"/>
      <c r="N28" s="11"/>
      <c r="O28" s="11"/>
      <c r="P28" s="11"/>
      <c r="Q28" s="8"/>
    </row>
    <row r="29" spans="1:17" ht="11.7" customHeight="1" x14ac:dyDescent="0.3">
      <c r="A29" s="8"/>
      <c r="B29" s="23"/>
      <c r="C29" s="21" t="e">
        <f t="shared" si="5"/>
        <v>#N/A</v>
      </c>
      <c r="D29" s="10">
        <f t="shared" si="4"/>
        <v>719633.79999999993</v>
      </c>
      <c r="E29" s="10">
        <f t="shared" si="0"/>
        <v>5159.1499999999996</v>
      </c>
      <c r="F29" s="10">
        <f t="shared" si="1"/>
        <v>1860.8299999999995</v>
      </c>
      <c r="G29" s="10">
        <f t="shared" si="2"/>
        <v>3298.32</v>
      </c>
      <c r="H29" s="10">
        <f>IF(ISTEXT($J$4),"",SUM(F$12:F29))</f>
        <v>32227.029999999992</v>
      </c>
      <c r="I29" s="10">
        <f>IF(ISTEXT($J$4),"",SUM(G$12:G29))</f>
        <v>60637.670000000006</v>
      </c>
      <c r="J29" s="10">
        <f t="shared" si="3"/>
        <v>717772.97</v>
      </c>
      <c r="K29" s="8"/>
      <c r="L29" s="22"/>
      <c r="M29" s="8"/>
      <c r="N29" s="11"/>
      <c r="O29" s="11"/>
      <c r="P29" s="11"/>
      <c r="Q29" s="8"/>
    </row>
    <row r="30" spans="1:17" ht="11.7" customHeight="1" x14ac:dyDescent="0.3">
      <c r="A30" s="8"/>
      <c r="B30" s="23"/>
      <c r="C30" s="21" t="e">
        <f t="shared" si="5"/>
        <v>#N/A</v>
      </c>
      <c r="D30" s="10">
        <f t="shared" si="4"/>
        <v>717772.97</v>
      </c>
      <c r="E30" s="10">
        <f t="shared" si="0"/>
        <v>5159.1499999999996</v>
      </c>
      <c r="F30" s="10">
        <f t="shared" si="1"/>
        <v>1869.3599999999997</v>
      </c>
      <c r="G30" s="10">
        <f t="shared" si="2"/>
        <v>3289.79</v>
      </c>
      <c r="H30" s="10">
        <f>IF(ISTEXT($J$4),"",SUM(F$12:F30))</f>
        <v>34096.389999999992</v>
      </c>
      <c r="I30" s="10">
        <f>IF(ISTEXT($J$4),"",SUM(G$12:G30))</f>
        <v>63927.460000000006</v>
      </c>
      <c r="J30" s="10">
        <f t="shared" si="3"/>
        <v>715903.61</v>
      </c>
      <c r="K30" s="8"/>
      <c r="L30" s="22"/>
      <c r="M30" s="8"/>
      <c r="N30" s="11"/>
      <c r="O30" s="11"/>
      <c r="P30" s="11"/>
      <c r="Q30" s="8"/>
    </row>
    <row r="31" spans="1:17" ht="11.7" customHeight="1" x14ac:dyDescent="0.3">
      <c r="A31" s="8"/>
      <c r="B31" s="23"/>
      <c r="C31" s="21" t="e">
        <f t="shared" si="5"/>
        <v>#N/A</v>
      </c>
      <c r="D31" s="10">
        <f t="shared" si="4"/>
        <v>715903.61</v>
      </c>
      <c r="E31" s="10">
        <f t="shared" si="0"/>
        <v>5159.1499999999996</v>
      </c>
      <c r="F31" s="10">
        <f t="shared" si="1"/>
        <v>1877.9299999999998</v>
      </c>
      <c r="G31" s="10">
        <f t="shared" si="2"/>
        <v>3281.22</v>
      </c>
      <c r="H31" s="10">
        <f>IF(ISTEXT($J$4),"",SUM(F$12:F31))</f>
        <v>35974.319999999992</v>
      </c>
      <c r="I31" s="10">
        <f>IF(ISTEXT($J$4),"",SUM(G$12:G31))</f>
        <v>67208.680000000008</v>
      </c>
      <c r="J31" s="10">
        <f t="shared" si="3"/>
        <v>714025.67999999993</v>
      </c>
      <c r="K31" s="8"/>
      <c r="L31" s="22"/>
      <c r="M31" s="8"/>
      <c r="N31" s="11"/>
      <c r="O31" s="11"/>
      <c r="P31" s="11"/>
      <c r="Q31" s="8"/>
    </row>
    <row r="32" spans="1:17" ht="11.7" customHeight="1" x14ac:dyDescent="0.3">
      <c r="A32" s="8"/>
      <c r="B32" s="23"/>
      <c r="C32" s="21" t="e">
        <f t="shared" si="5"/>
        <v>#N/A</v>
      </c>
      <c r="D32" s="10">
        <f t="shared" si="4"/>
        <v>714025.67999999993</v>
      </c>
      <c r="E32" s="10">
        <f t="shared" si="0"/>
        <v>5159.1499999999996</v>
      </c>
      <c r="F32" s="10">
        <f t="shared" si="1"/>
        <v>1886.5299999999997</v>
      </c>
      <c r="G32" s="10">
        <f t="shared" si="2"/>
        <v>3272.62</v>
      </c>
      <c r="H32" s="10">
        <f>IF(ISTEXT($J$4),"",SUM(F$12:F32))</f>
        <v>37860.849999999991</v>
      </c>
      <c r="I32" s="10">
        <f>IF(ISTEXT($J$4),"",SUM(G$12:G32))</f>
        <v>70481.3</v>
      </c>
      <c r="J32" s="10">
        <f t="shared" si="3"/>
        <v>712139.14999999991</v>
      </c>
      <c r="K32" s="8"/>
      <c r="L32" s="22"/>
      <c r="M32" s="8"/>
      <c r="N32" s="11"/>
      <c r="O32" s="11"/>
      <c r="P32" s="11"/>
      <c r="Q32" s="8"/>
    </row>
    <row r="33" spans="1:17" ht="11.7" customHeight="1" x14ac:dyDescent="0.3">
      <c r="A33" s="8"/>
      <c r="B33" s="23"/>
      <c r="C33" s="21" t="e">
        <f t="shared" si="5"/>
        <v>#N/A</v>
      </c>
      <c r="D33" s="10">
        <f t="shared" si="4"/>
        <v>712139.14999999991</v>
      </c>
      <c r="E33" s="10">
        <f t="shared" si="0"/>
        <v>5159.1499999999996</v>
      </c>
      <c r="F33" s="10">
        <f t="shared" si="1"/>
        <v>1895.1799999999998</v>
      </c>
      <c r="G33" s="10">
        <f t="shared" si="2"/>
        <v>3263.97</v>
      </c>
      <c r="H33" s="10">
        <f>IF(ISTEXT($J$4),"",SUM(F$12:F33))</f>
        <v>39756.029999999992</v>
      </c>
      <c r="I33" s="10">
        <f>IF(ISTEXT($J$4),"",SUM(G$12:G33))</f>
        <v>73745.27</v>
      </c>
      <c r="J33" s="10">
        <f t="shared" si="3"/>
        <v>710243.96999999986</v>
      </c>
      <c r="K33" s="8"/>
      <c r="L33" s="22"/>
      <c r="M33" s="8"/>
      <c r="N33" s="11"/>
      <c r="O33" s="11"/>
      <c r="P33" s="11"/>
      <c r="Q33" s="8"/>
    </row>
    <row r="34" spans="1:17" ht="11.7" customHeight="1" x14ac:dyDescent="0.3">
      <c r="A34" s="8"/>
      <c r="B34" s="23"/>
      <c r="C34" s="21" t="e">
        <f t="shared" si="5"/>
        <v>#N/A</v>
      </c>
      <c r="D34" s="10">
        <f t="shared" si="4"/>
        <v>710243.96999999986</v>
      </c>
      <c r="E34" s="10">
        <f t="shared" si="0"/>
        <v>5159.1499999999996</v>
      </c>
      <c r="F34" s="10">
        <f t="shared" si="1"/>
        <v>1903.8699999999994</v>
      </c>
      <c r="G34" s="10">
        <f t="shared" si="2"/>
        <v>3255.28</v>
      </c>
      <c r="H34" s="10">
        <f>IF(ISTEXT($J$4),"",SUM(F$12:F34))</f>
        <v>41659.899999999994</v>
      </c>
      <c r="I34" s="10">
        <f>IF(ISTEXT($J$4),"",SUM(G$12:G34))</f>
        <v>77000.55</v>
      </c>
      <c r="J34" s="10">
        <f t="shared" si="3"/>
        <v>708340.09999999986</v>
      </c>
      <c r="K34" s="8"/>
      <c r="L34" s="22"/>
      <c r="M34" s="8"/>
      <c r="N34" s="11"/>
      <c r="O34" s="11"/>
      <c r="P34" s="11"/>
      <c r="Q34" s="8"/>
    </row>
    <row r="35" spans="1:17" ht="11.7" customHeight="1" x14ac:dyDescent="0.3">
      <c r="A35" s="8"/>
      <c r="B35" s="23"/>
      <c r="C35" s="21" t="e">
        <f t="shared" si="5"/>
        <v>#N/A</v>
      </c>
      <c r="D35" s="10">
        <f t="shared" si="4"/>
        <v>708340.09999999986</v>
      </c>
      <c r="E35" s="10">
        <f t="shared" si="0"/>
        <v>5159.1499999999996</v>
      </c>
      <c r="F35" s="10">
        <f t="shared" si="1"/>
        <v>1912.5899999999997</v>
      </c>
      <c r="G35" s="10">
        <f t="shared" si="2"/>
        <v>3246.56</v>
      </c>
      <c r="H35" s="10">
        <f>IF(ISTEXT($J$4),"",SUM(F$12:F35))</f>
        <v>43572.489999999991</v>
      </c>
      <c r="I35" s="10">
        <f>IF(ISTEXT($J$4),"",SUM(G$12:G35))</f>
        <v>80247.11</v>
      </c>
      <c r="J35" s="10">
        <f t="shared" si="3"/>
        <v>706427.50999999989</v>
      </c>
      <c r="K35" s="8"/>
      <c r="L35" s="22">
        <f>I35-I23</f>
        <v>39525.949999999997</v>
      </c>
      <c r="M35" s="8"/>
      <c r="N35" s="11"/>
      <c r="O35" s="11"/>
      <c r="P35" s="11"/>
      <c r="Q35" s="8"/>
    </row>
    <row r="36" spans="1:17" ht="9.9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7"/>
      <c r="P36" s="7"/>
      <c r="Q36" s="5"/>
    </row>
    <row r="37" spans="1:17" ht="18" customHeight="1" x14ac:dyDescent="0.3">
      <c r="A37" s="5"/>
      <c r="B37" s="77" t="s">
        <v>24</v>
      </c>
      <c r="C37" s="77"/>
      <c r="D37" s="77"/>
      <c r="E37" s="77"/>
      <c r="F37" s="77"/>
      <c r="G37" s="77"/>
      <c r="H37" s="77"/>
      <c r="I37" s="77"/>
      <c r="J37" s="5"/>
      <c r="K37" s="5"/>
      <c r="L37" s="5"/>
      <c r="M37" s="5"/>
      <c r="N37" s="7"/>
      <c r="O37" s="7"/>
      <c r="P37" s="7"/>
      <c r="Q37" s="5"/>
    </row>
    <row r="38" spans="1:17" ht="27" customHeight="1" x14ac:dyDescent="0.3">
      <c r="A38" s="15"/>
      <c r="B38" s="16" t="s">
        <v>15</v>
      </c>
      <c r="C38" s="17" t="s">
        <v>17</v>
      </c>
      <c r="D38" s="17" t="s">
        <v>25</v>
      </c>
      <c r="E38" s="17" t="s">
        <v>26</v>
      </c>
      <c r="F38" s="17" t="s">
        <v>27</v>
      </c>
      <c r="G38" s="24" t="s">
        <v>21</v>
      </c>
      <c r="H38" s="17" t="s">
        <v>22</v>
      </c>
      <c r="I38" s="25" t="s">
        <v>23</v>
      </c>
      <c r="J38" s="15"/>
      <c r="K38" s="15"/>
      <c r="L38" s="15"/>
      <c r="M38" s="15"/>
      <c r="N38" s="19"/>
      <c r="O38" s="19"/>
      <c r="P38" s="19"/>
      <c r="Q38" s="15"/>
    </row>
    <row r="39" spans="1:17" ht="11.7" customHeight="1" x14ac:dyDescent="0.3">
      <c r="A39" s="8"/>
      <c r="B39" s="20">
        <f>IF(NOT(ISNUMBER(E7)),"",IF(C12="Jan",1+E7,MAX(B12:B23)))</f>
        <v>2010</v>
      </c>
      <c r="C39" s="26">
        <f>IF(ISTEXT(B39),"",INDEX(J12:J23,13-O204,1))</f>
        <v>732424.0399999998</v>
      </c>
      <c r="D39" s="26">
        <f>IF(ISTEXT(B39),"",J$5*12)</f>
        <v>61909.799999999996</v>
      </c>
      <c r="E39" s="26">
        <f t="shared" ref="E39:E68" si="6">IF(ISTEXT(B39),"",C39-I39)</f>
        <v>22180.839420008007</v>
      </c>
      <c r="F39" s="26">
        <f t="shared" ref="F39:F68" si="7">IF(ISTEXT(B39),"",D39-E39)</f>
        <v>39728.960579991988</v>
      </c>
      <c r="G39" s="26">
        <f>IF(ISTEXT(B39),"",E4-I39)</f>
        <v>39756.799420008203</v>
      </c>
      <c r="H39" s="26">
        <f>IF(ISTEXT(B39),"",IF(Q224&lt;12,(24-Q224)*J5-G39,24*J5-G39))</f>
        <v>73744.500579991785</v>
      </c>
      <c r="I39" s="26">
        <f t="shared" ref="I39:I68" si="8">IF(ISTEXT(B39),"",IF(B39=Q$223,0,IF(ISTEXT(B39),"",PV(E$5/12,N217,-J$5))))</f>
        <v>710243.2005799918</v>
      </c>
      <c r="J39" s="8"/>
      <c r="K39" s="8"/>
      <c r="L39" s="8"/>
      <c r="M39" s="8"/>
      <c r="N39" s="11"/>
      <c r="O39" s="11"/>
      <c r="P39" s="11"/>
      <c r="Q39" s="8"/>
    </row>
    <row r="40" spans="1:17" ht="11.7" customHeight="1" x14ac:dyDescent="0.3">
      <c r="A40" s="8"/>
      <c r="B40" s="20">
        <f>IF(ISTEXT(B39),"",IF(MAX(B$39:B39)=Q$223,"",B39+1))</f>
        <v>2011</v>
      </c>
      <c r="C40" s="26">
        <f t="shared" ref="C40:C68" si="9">IF(ISTEXT(B40),"",I39)</f>
        <v>710243.2005799918</v>
      </c>
      <c r="D40" s="26">
        <f t="shared" ref="D40:D68" si="10">IF(ISTEXT(B40),"",J$5*MIN(12,N217))</f>
        <v>61909.799999999996</v>
      </c>
      <c r="E40" s="26">
        <f t="shared" si="6"/>
        <v>23431.234427297371</v>
      </c>
      <c r="F40" s="26">
        <f t="shared" si="7"/>
        <v>38478.565572702624</v>
      </c>
      <c r="G40" s="26">
        <f t="shared" ref="G40:G68" si="11">IF(ISTEXT(B40),"",G39+E40)</f>
        <v>63188.033847305574</v>
      </c>
      <c r="H40" s="26">
        <f t="shared" ref="H40:H68" si="12">IF(ISTEXT(C40),"",H39+F40)</f>
        <v>112223.0661526944</v>
      </c>
      <c r="I40" s="26">
        <f t="shared" si="8"/>
        <v>686811.96615269443</v>
      </c>
      <c r="J40" s="8"/>
      <c r="K40" s="8"/>
      <c r="L40" s="8"/>
      <c r="M40" s="8"/>
      <c r="N40" s="11"/>
      <c r="O40" s="11"/>
      <c r="P40" s="11"/>
      <c r="Q40" s="8"/>
    </row>
    <row r="41" spans="1:17" ht="11.7" customHeight="1" x14ac:dyDescent="0.3">
      <c r="A41" s="8"/>
      <c r="B41" s="20">
        <f>IF(ISTEXT(B40),"",IF(MAX(B$39:B40)=Q$223,"",B40+1))</f>
        <v>2012</v>
      </c>
      <c r="C41" s="26">
        <f t="shared" si="9"/>
        <v>686811.96615269443</v>
      </c>
      <c r="D41" s="26">
        <f t="shared" si="10"/>
        <v>61909.799999999996</v>
      </c>
      <c r="E41" s="26">
        <f t="shared" si="6"/>
        <v>24752.940227533341</v>
      </c>
      <c r="F41" s="26">
        <f t="shared" si="7"/>
        <v>37156.859772466654</v>
      </c>
      <c r="G41" s="26">
        <f t="shared" si="11"/>
        <v>87940.974074838916</v>
      </c>
      <c r="H41" s="26">
        <f t="shared" si="12"/>
        <v>149379.92592516105</v>
      </c>
      <c r="I41" s="26">
        <f t="shared" si="8"/>
        <v>662059.02592516108</v>
      </c>
      <c r="J41" s="8"/>
      <c r="K41" s="8"/>
      <c r="L41" s="8"/>
      <c r="M41" s="8"/>
      <c r="N41" s="11"/>
      <c r="O41" s="11"/>
      <c r="P41" s="11"/>
      <c r="Q41" s="8"/>
    </row>
    <row r="42" spans="1:17" ht="11.7" customHeight="1" x14ac:dyDescent="0.3">
      <c r="A42" s="8"/>
      <c r="B42" s="20">
        <f>IF(ISTEXT(B41),"",IF(MAX(B$39:B41)=Q$223,"",B41+1))</f>
        <v>2013</v>
      </c>
      <c r="C42" s="26">
        <f t="shared" si="9"/>
        <v>662059.02592516108</v>
      </c>
      <c r="D42" s="26">
        <f t="shared" si="10"/>
        <v>61909.799999999996</v>
      </c>
      <c r="E42" s="26">
        <f t="shared" si="6"/>
        <v>26149.20062401949</v>
      </c>
      <c r="F42" s="26">
        <f t="shared" si="7"/>
        <v>35760.599375980506</v>
      </c>
      <c r="G42" s="26">
        <f t="shared" si="11"/>
        <v>114090.17469885841</v>
      </c>
      <c r="H42" s="26">
        <f t="shared" si="12"/>
        <v>185140.52530114155</v>
      </c>
      <c r="I42" s="26">
        <f t="shared" si="8"/>
        <v>635909.82530114159</v>
      </c>
      <c r="J42" s="8"/>
      <c r="K42" s="8"/>
      <c r="L42" s="8"/>
      <c r="M42" s="8"/>
      <c r="N42" s="11"/>
      <c r="O42" s="11"/>
      <c r="P42" s="11"/>
      <c r="Q42" s="8"/>
    </row>
    <row r="43" spans="1:17" ht="11.7" customHeight="1" x14ac:dyDescent="0.3">
      <c r="A43" s="8"/>
      <c r="B43" s="20">
        <f>IF(ISTEXT(B42),"",IF(MAX(B$39:B42)=Q$223,"",B42+1))</f>
        <v>2014</v>
      </c>
      <c r="C43" s="26">
        <f t="shared" si="9"/>
        <v>635909.82530114159</v>
      </c>
      <c r="D43" s="26">
        <f t="shared" si="10"/>
        <v>61909.799999999996</v>
      </c>
      <c r="E43" s="26">
        <f t="shared" si="6"/>
        <v>27624.221082012518</v>
      </c>
      <c r="F43" s="26">
        <f t="shared" si="7"/>
        <v>34285.578917987477</v>
      </c>
      <c r="G43" s="26">
        <f t="shared" si="11"/>
        <v>141714.39578087092</v>
      </c>
      <c r="H43" s="26">
        <f t="shared" si="12"/>
        <v>219426.10421912902</v>
      </c>
      <c r="I43" s="26">
        <f t="shared" si="8"/>
        <v>608285.60421912908</v>
      </c>
      <c r="J43" s="8"/>
      <c r="K43" s="8"/>
      <c r="L43" s="8"/>
      <c r="M43" s="8"/>
      <c r="N43" s="11"/>
      <c r="O43" s="11"/>
      <c r="P43" s="11"/>
      <c r="Q43" s="8"/>
    </row>
    <row r="44" spans="1:17" ht="11.7" customHeight="1" x14ac:dyDescent="0.3">
      <c r="A44" s="8"/>
      <c r="B44" s="20">
        <f>IF(ISTEXT(B43),"",IF(MAX(B$39:B43)=Q$223,"",B43+1))</f>
        <v>2015</v>
      </c>
      <c r="C44" s="26">
        <f t="shared" si="9"/>
        <v>608285.60421912908</v>
      </c>
      <c r="D44" s="26">
        <f t="shared" si="10"/>
        <v>61909.799999999996</v>
      </c>
      <c r="E44" s="26">
        <f t="shared" si="6"/>
        <v>29182.444288065657</v>
      </c>
      <c r="F44" s="26">
        <f t="shared" si="7"/>
        <v>32727.355711934339</v>
      </c>
      <c r="G44" s="26">
        <f t="shared" si="11"/>
        <v>170896.84006893658</v>
      </c>
      <c r="H44" s="26">
        <f t="shared" si="12"/>
        <v>252153.45993106335</v>
      </c>
      <c r="I44" s="26">
        <f t="shared" si="8"/>
        <v>579103.15993106342</v>
      </c>
      <c r="J44" s="8">
        <f>SUM(G12:G17)</f>
        <v>20505.91</v>
      </c>
      <c r="K44" s="8"/>
      <c r="L44" s="8"/>
      <c r="M44" s="8"/>
      <c r="N44" s="11"/>
      <c r="O44" s="11"/>
      <c r="P44" s="11"/>
      <c r="Q44" s="8"/>
    </row>
    <row r="45" spans="1:17" ht="11.7" customHeight="1" x14ac:dyDescent="0.3">
      <c r="A45" s="8"/>
      <c r="B45" s="20">
        <f>IF(ISTEXT(B44),"",IF(MAX(B$39:B44)=Q$223,"",B44+1))</f>
        <v>2016</v>
      </c>
      <c r="C45" s="26">
        <f t="shared" si="9"/>
        <v>579103.15993106342</v>
      </c>
      <c r="D45" s="26">
        <f t="shared" si="10"/>
        <v>61909.799999999996</v>
      </c>
      <c r="E45" s="26">
        <f t="shared" si="6"/>
        <v>30828.563531175605</v>
      </c>
      <c r="F45" s="26">
        <f t="shared" si="7"/>
        <v>31081.236468824391</v>
      </c>
      <c r="G45" s="26">
        <f t="shared" si="11"/>
        <v>201725.40360011219</v>
      </c>
      <c r="H45" s="26">
        <f t="shared" si="12"/>
        <v>283234.69639988773</v>
      </c>
      <c r="I45" s="26">
        <f t="shared" si="8"/>
        <v>548274.59639988781</v>
      </c>
      <c r="J45" s="8"/>
      <c r="K45" s="8"/>
      <c r="L45" s="8"/>
      <c r="M45" s="8"/>
      <c r="N45" s="11"/>
      <c r="O45" s="11"/>
      <c r="P45" s="11"/>
      <c r="Q45" s="8"/>
    </row>
    <row r="46" spans="1:17" ht="11.7" customHeight="1" x14ac:dyDescent="0.3">
      <c r="A46" s="8"/>
      <c r="B46" s="20">
        <f>IF(ISTEXT(B45),"",IF(MAX(B$39:B45)=Q$223,"",B45+1))</f>
        <v>2017</v>
      </c>
      <c r="C46" s="26">
        <f t="shared" si="9"/>
        <v>548274.59639988781</v>
      </c>
      <c r="D46" s="26">
        <f t="shared" si="10"/>
        <v>61909.799999999996</v>
      </c>
      <c r="E46" s="26">
        <f t="shared" si="6"/>
        <v>32567.536838728818</v>
      </c>
      <c r="F46" s="26">
        <f t="shared" si="7"/>
        <v>29342.263161271178</v>
      </c>
      <c r="G46" s="26">
        <f t="shared" si="11"/>
        <v>234292.940438841</v>
      </c>
      <c r="H46" s="26">
        <f t="shared" si="12"/>
        <v>312576.9595611589</v>
      </c>
      <c r="I46" s="26">
        <f t="shared" si="8"/>
        <v>515707.059561159</v>
      </c>
      <c r="J46" s="8"/>
      <c r="K46" s="8"/>
      <c r="L46" s="8"/>
      <c r="M46" s="8"/>
      <c r="N46" s="11"/>
      <c r="O46" s="11"/>
      <c r="P46" s="11"/>
      <c r="Q46" s="8"/>
    </row>
    <row r="47" spans="1:17" ht="11.7" customHeight="1" x14ac:dyDescent="0.3">
      <c r="A47" s="8"/>
      <c r="B47" s="20">
        <f>IF(ISTEXT(B46),"",IF(MAX(B$39:B46)=Q$223,"",B46+1))</f>
        <v>2018</v>
      </c>
      <c r="C47" s="26">
        <f t="shared" si="9"/>
        <v>515707.059561159</v>
      </c>
      <c r="D47" s="26">
        <f t="shared" si="10"/>
        <v>61909.799999999996</v>
      </c>
      <c r="E47" s="26">
        <f t="shared" si="6"/>
        <v>34404.60190982878</v>
      </c>
      <c r="F47" s="26">
        <f t="shared" si="7"/>
        <v>27505.198090171216</v>
      </c>
      <c r="G47" s="26">
        <f t="shared" si="11"/>
        <v>268697.54234866978</v>
      </c>
      <c r="H47" s="26">
        <f t="shared" si="12"/>
        <v>340082.15765133011</v>
      </c>
      <c r="I47" s="26">
        <f t="shared" si="8"/>
        <v>481302.45765133022</v>
      </c>
      <c r="J47" s="8"/>
      <c r="K47" s="8"/>
      <c r="L47" s="8"/>
      <c r="M47" s="8"/>
      <c r="N47" s="11"/>
      <c r="O47" s="11"/>
      <c r="P47" s="11"/>
      <c r="Q47" s="8"/>
    </row>
    <row r="48" spans="1:17" ht="11.7" customHeight="1" x14ac:dyDescent="0.3">
      <c r="A48" s="8"/>
      <c r="B48" s="20">
        <f>IF(ISTEXT(B47),"",IF(MAX(B$39:B47)=Q$223,"",B47+1))</f>
        <v>2019</v>
      </c>
      <c r="C48" s="26">
        <f t="shared" si="9"/>
        <v>481302.45765133022</v>
      </c>
      <c r="D48" s="26">
        <f t="shared" si="10"/>
        <v>61909.799999999996</v>
      </c>
      <c r="E48" s="26">
        <f t="shared" si="6"/>
        <v>36345.291890978231</v>
      </c>
      <c r="F48" s="26">
        <f t="shared" si="7"/>
        <v>25564.508109021765</v>
      </c>
      <c r="G48" s="26">
        <f t="shared" si="11"/>
        <v>305042.83423964801</v>
      </c>
      <c r="H48" s="26">
        <f t="shared" si="12"/>
        <v>365646.66576035187</v>
      </c>
      <c r="I48" s="26">
        <f t="shared" si="8"/>
        <v>444957.16576035199</v>
      </c>
      <c r="J48" s="8"/>
      <c r="K48" s="8"/>
      <c r="L48" s="8"/>
      <c r="M48" s="8"/>
      <c r="N48" s="11"/>
      <c r="O48" s="11"/>
      <c r="P48" s="11"/>
      <c r="Q48" s="8"/>
    </row>
    <row r="49" spans="1:17" ht="11.7" customHeight="1" x14ac:dyDescent="0.3">
      <c r="A49" s="8"/>
      <c r="B49" s="20">
        <f>IF(ISTEXT(B48),"",IF(MAX(B$39:B48)=Q$223,"",B48+1))</f>
        <v>2020</v>
      </c>
      <c r="C49" s="26">
        <f t="shared" si="9"/>
        <v>444957.16576035199</v>
      </c>
      <c r="D49" s="26">
        <f t="shared" si="10"/>
        <v>61909.799999999996</v>
      </c>
      <c r="E49" s="26">
        <f t="shared" si="6"/>
        <v>38395.452041635988</v>
      </c>
      <c r="F49" s="26">
        <f t="shared" si="7"/>
        <v>23514.347958364007</v>
      </c>
      <c r="G49" s="26">
        <f t="shared" si="11"/>
        <v>343438.286281284</v>
      </c>
      <c r="H49" s="26">
        <f t="shared" si="12"/>
        <v>389161.01371871587</v>
      </c>
      <c r="I49" s="26">
        <f t="shared" si="8"/>
        <v>406561.713718716</v>
      </c>
      <c r="J49" s="8"/>
      <c r="K49" s="8"/>
      <c r="L49" s="8"/>
      <c r="M49" s="8"/>
      <c r="N49" s="11"/>
      <c r="O49" s="11"/>
      <c r="P49" s="11"/>
      <c r="Q49" s="8"/>
    </row>
    <row r="50" spans="1:17" ht="11.7" customHeight="1" x14ac:dyDescent="0.3">
      <c r="A50" s="8"/>
      <c r="B50" s="20">
        <f>IF(ISTEXT(B49),"",IF(MAX(B$39:B49)=Q$223,"",B49+1))</f>
        <v>2021</v>
      </c>
      <c r="C50" s="26">
        <f t="shared" si="9"/>
        <v>406561.713718716</v>
      </c>
      <c r="D50" s="26">
        <f t="shared" si="10"/>
        <v>61909.799999999996</v>
      </c>
      <c r="E50" s="26">
        <f t="shared" si="6"/>
        <v>40561.257339840056</v>
      </c>
      <c r="F50" s="26">
        <f t="shared" si="7"/>
        <v>21348.542660159939</v>
      </c>
      <c r="G50" s="26">
        <f t="shared" si="11"/>
        <v>383999.54362112406</v>
      </c>
      <c r="H50" s="26">
        <f t="shared" si="12"/>
        <v>410509.5563788758</v>
      </c>
      <c r="I50" s="26">
        <f t="shared" si="8"/>
        <v>366000.45637887594</v>
      </c>
      <c r="J50" s="8"/>
      <c r="K50" s="8"/>
      <c r="L50" s="8"/>
      <c r="M50" s="8"/>
      <c r="N50" s="11"/>
      <c r="O50" s="11"/>
      <c r="P50" s="11"/>
      <c r="Q50" s="8"/>
    </row>
    <row r="51" spans="1:17" ht="11.7" customHeight="1" x14ac:dyDescent="0.3">
      <c r="A51" s="8"/>
      <c r="B51" s="20">
        <f>IF(ISTEXT(B50),"",IF(MAX(B$39:B50)=Q$223,"",B50+1))</f>
        <v>2022</v>
      </c>
      <c r="C51" s="26">
        <f t="shared" si="9"/>
        <v>366000.45637887594</v>
      </c>
      <c r="D51" s="26">
        <f t="shared" si="10"/>
        <v>61909.799999999996</v>
      </c>
      <c r="E51" s="26">
        <f t="shared" si="6"/>
        <v>42849.231080927711</v>
      </c>
      <c r="F51" s="26">
        <f t="shared" si="7"/>
        <v>19060.568919072284</v>
      </c>
      <c r="G51" s="26">
        <f t="shared" si="11"/>
        <v>426848.77470205177</v>
      </c>
      <c r="H51" s="26">
        <f t="shared" si="12"/>
        <v>429570.12529794808</v>
      </c>
      <c r="I51" s="26">
        <f t="shared" si="8"/>
        <v>323151.22529794823</v>
      </c>
      <c r="J51" s="8"/>
      <c r="K51" s="8"/>
      <c r="L51" s="8"/>
      <c r="M51" s="8"/>
      <c r="N51" s="11"/>
      <c r="O51" s="11"/>
      <c r="P51" s="11"/>
      <c r="Q51" s="8"/>
    </row>
    <row r="52" spans="1:17" ht="11.7" customHeight="1" x14ac:dyDescent="0.3">
      <c r="A52" s="8"/>
      <c r="B52" s="20">
        <f>IF(ISTEXT(B51),"",IF(MAX(B$39:B51)=Q$223,"",B51+1))</f>
        <v>2023</v>
      </c>
      <c r="C52" s="26">
        <f t="shared" si="9"/>
        <v>323151.22529794823</v>
      </c>
      <c r="D52" s="26">
        <f t="shared" si="10"/>
        <v>61909.799999999996</v>
      </c>
      <c r="E52" s="26">
        <f t="shared" si="6"/>
        <v>45266.264525368228</v>
      </c>
      <c r="F52" s="26">
        <f t="shared" si="7"/>
        <v>16643.535474631768</v>
      </c>
      <c r="G52" s="26">
        <f t="shared" si="11"/>
        <v>472115.03922742</v>
      </c>
      <c r="H52" s="26">
        <f t="shared" si="12"/>
        <v>446213.66077257984</v>
      </c>
      <c r="I52" s="26">
        <f t="shared" si="8"/>
        <v>277884.96077258</v>
      </c>
      <c r="J52" s="8"/>
      <c r="K52" s="8"/>
      <c r="L52" s="8"/>
      <c r="M52" s="8"/>
      <c r="N52" s="11"/>
      <c r="O52" s="11"/>
      <c r="P52" s="11"/>
      <c r="Q52" s="8"/>
    </row>
    <row r="53" spans="1:17" ht="11.7" customHeight="1" x14ac:dyDescent="0.3">
      <c r="A53" s="8"/>
      <c r="B53" s="20">
        <f>IF(ISTEXT(B52),"",IF(MAX(B$39:B52)=Q$223,"",B52+1))</f>
        <v>2024</v>
      </c>
      <c r="C53" s="26">
        <f t="shared" si="9"/>
        <v>277884.96077258</v>
      </c>
      <c r="D53" s="26">
        <f t="shared" si="10"/>
        <v>61909.799999999996</v>
      </c>
      <c r="E53" s="26">
        <f t="shared" si="6"/>
        <v>47819.637654889782</v>
      </c>
      <c r="F53" s="26">
        <f t="shared" si="7"/>
        <v>14090.162345110213</v>
      </c>
      <c r="G53" s="26">
        <f t="shared" si="11"/>
        <v>519934.67688230978</v>
      </c>
      <c r="H53" s="26">
        <f t="shared" si="12"/>
        <v>460303.82311769004</v>
      </c>
      <c r="I53" s="26">
        <f t="shared" si="8"/>
        <v>230065.32311769022</v>
      </c>
      <c r="J53" s="8"/>
      <c r="K53" s="8"/>
      <c r="L53" s="8"/>
      <c r="M53" s="8"/>
      <c r="N53" s="11"/>
      <c r="O53" s="11"/>
      <c r="P53" s="11"/>
      <c r="Q53" s="8"/>
    </row>
    <row r="54" spans="1:17" ht="11.7" customHeight="1" x14ac:dyDescent="0.3">
      <c r="A54" s="8"/>
      <c r="B54" s="20">
        <f>IF(ISTEXT(B53),"",IF(MAX(B$39:B53)=Q$223,"",B53+1))</f>
        <v>2025</v>
      </c>
      <c r="C54" s="26">
        <f t="shared" si="9"/>
        <v>230065.32311769022</v>
      </c>
      <c r="D54" s="26">
        <f t="shared" si="10"/>
        <v>61909.799999999996</v>
      </c>
      <c r="E54" s="26">
        <f t="shared" si="6"/>
        <v>50517.041099413618</v>
      </c>
      <c r="F54" s="26">
        <f t="shared" si="7"/>
        <v>11392.758900586377</v>
      </c>
      <c r="G54" s="26">
        <f t="shared" si="11"/>
        <v>570451.71798172337</v>
      </c>
      <c r="H54" s="26">
        <f t="shared" si="12"/>
        <v>471696.58201827644</v>
      </c>
      <c r="I54" s="26">
        <f t="shared" si="8"/>
        <v>179548.2820182766</v>
      </c>
      <c r="J54" s="8"/>
      <c r="K54" s="8"/>
      <c r="L54" s="8"/>
      <c r="M54" s="8"/>
      <c r="N54" s="11"/>
      <c r="O54" s="11"/>
      <c r="P54" s="11"/>
      <c r="Q54" s="8"/>
    </row>
    <row r="55" spans="1:17" ht="11.7" customHeight="1" x14ac:dyDescent="0.3">
      <c r="A55" s="8"/>
      <c r="B55" s="20">
        <f>IF(ISTEXT(B54),"",IF(MAX(B$39:B54)=Q$223,"",B54+1))</f>
        <v>2026</v>
      </c>
      <c r="C55" s="26">
        <f t="shared" si="9"/>
        <v>179548.2820182766</v>
      </c>
      <c r="D55" s="26">
        <f t="shared" si="10"/>
        <v>61909.799999999996</v>
      </c>
      <c r="E55" s="26">
        <f t="shared" si="6"/>
        <v>53366.599300840026</v>
      </c>
      <c r="F55" s="26">
        <f t="shared" si="7"/>
        <v>8543.2006991599701</v>
      </c>
      <c r="G55" s="26">
        <f t="shared" si="11"/>
        <v>623818.31728256342</v>
      </c>
      <c r="H55" s="26">
        <f t="shared" si="12"/>
        <v>480239.78271743644</v>
      </c>
      <c r="I55" s="26">
        <f t="shared" si="8"/>
        <v>126181.68271743658</v>
      </c>
      <c r="J55" s="8"/>
      <c r="K55" s="8"/>
      <c r="L55" s="8"/>
      <c r="M55" s="8"/>
      <c r="N55" s="11"/>
      <c r="O55" s="11"/>
      <c r="P55" s="11"/>
      <c r="Q55" s="8"/>
    </row>
    <row r="56" spans="1:17" ht="11.7" customHeight="1" x14ac:dyDescent="0.3">
      <c r="A56" s="8"/>
      <c r="B56" s="20">
        <f>IF(ISTEXT(B55),"",IF(MAX(B$39:B55)=Q$223,"",B55+1))</f>
        <v>2027</v>
      </c>
      <c r="C56" s="26">
        <f t="shared" si="9"/>
        <v>126181.68271743658</v>
      </c>
      <c r="D56" s="26">
        <f t="shared" si="10"/>
        <v>61909.799999999996</v>
      </c>
      <c r="E56" s="26">
        <f t="shared" si="6"/>
        <v>56376.894983452352</v>
      </c>
      <c r="F56" s="26">
        <f t="shared" si="7"/>
        <v>5532.9050165476438</v>
      </c>
      <c r="G56" s="26">
        <f t="shared" si="11"/>
        <v>680195.21226601582</v>
      </c>
      <c r="H56" s="26">
        <f t="shared" si="12"/>
        <v>485772.68773398409</v>
      </c>
      <c r="I56" s="26">
        <f t="shared" si="8"/>
        <v>69804.787733984223</v>
      </c>
      <c r="J56" s="8"/>
      <c r="K56" s="8"/>
      <c r="L56" s="8"/>
      <c r="M56" s="8"/>
      <c r="N56" s="11"/>
      <c r="O56" s="11"/>
      <c r="P56" s="11"/>
      <c r="Q56" s="8"/>
    </row>
    <row r="57" spans="1:17" ht="11.7" customHeight="1" x14ac:dyDescent="0.3">
      <c r="A57" s="8"/>
      <c r="B57" s="20">
        <f>IF(ISTEXT(B56),"",IF(MAX(B$39:B56)=Q$223,"",B56+1))</f>
        <v>2028</v>
      </c>
      <c r="C57" s="26">
        <f t="shared" si="9"/>
        <v>69804.787733984223</v>
      </c>
      <c r="D57" s="26">
        <f t="shared" si="10"/>
        <v>61909.799999999996</v>
      </c>
      <c r="E57" s="26">
        <f t="shared" si="6"/>
        <v>59556.995004648939</v>
      </c>
      <c r="F57" s="26">
        <f t="shared" si="7"/>
        <v>2352.8049953510563</v>
      </c>
      <c r="G57" s="26">
        <f t="shared" si="11"/>
        <v>739752.20727066475</v>
      </c>
      <c r="H57" s="26">
        <f t="shared" si="12"/>
        <v>488125.49272933515</v>
      </c>
      <c r="I57" s="26">
        <f t="shared" si="8"/>
        <v>10247.79272933528</v>
      </c>
      <c r="J57" s="8"/>
      <c r="K57" s="8"/>
      <c r="L57" s="8"/>
      <c r="M57" s="8"/>
      <c r="N57" s="11"/>
      <c r="O57" s="11"/>
      <c r="P57" s="11"/>
      <c r="Q57" s="8"/>
    </row>
    <row r="58" spans="1:17" ht="11.7" customHeight="1" x14ac:dyDescent="0.3">
      <c r="A58" s="8"/>
      <c r="B58" s="20">
        <f>IF(ISTEXT(B57),"",IF(MAX(B$39:B57)=Q$223,"",B57+1))</f>
        <v>2029</v>
      </c>
      <c r="C58" s="26">
        <f t="shared" si="9"/>
        <v>10247.79272933528</v>
      </c>
      <c r="D58" s="26">
        <f t="shared" si="10"/>
        <v>10318.299999999999</v>
      </c>
      <c r="E58" s="26">
        <f t="shared" si="6"/>
        <v>10247.79272933528</v>
      </c>
      <c r="F58" s="26">
        <f t="shared" si="7"/>
        <v>70.507270664718817</v>
      </c>
      <c r="G58" s="26">
        <f t="shared" si="11"/>
        <v>750000</v>
      </c>
      <c r="H58" s="26">
        <f t="shared" si="12"/>
        <v>488195.99999999988</v>
      </c>
      <c r="I58" s="26">
        <f t="shared" si="8"/>
        <v>0</v>
      </c>
      <c r="J58" s="8"/>
      <c r="K58" s="8"/>
      <c r="L58" s="8"/>
      <c r="M58" s="8"/>
      <c r="N58" s="11"/>
      <c r="O58" s="11"/>
      <c r="P58" s="11"/>
      <c r="Q58" s="8"/>
    </row>
    <row r="59" spans="1:17" ht="11.7" customHeight="1" x14ac:dyDescent="0.3">
      <c r="A59" s="8"/>
      <c r="B59" s="20" t="str">
        <f>IF(ISTEXT(B58),"",IF(MAX(B$39:B58)=Q$223,"",B58+1))</f>
        <v/>
      </c>
      <c r="C59" s="26" t="str">
        <f t="shared" si="9"/>
        <v/>
      </c>
      <c r="D59" s="26" t="str">
        <f t="shared" si="10"/>
        <v/>
      </c>
      <c r="E59" s="26" t="str">
        <f t="shared" si="6"/>
        <v/>
      </c>
      <c r="F59" s="26" t="str">
        <f t="shared" si="7"/>
        <v/>
      </c>
      <c r="G59" s="26" t="str">
        <f t="shared" si="11"/>
        <v/>
      </c>
      <c r="H59" s="26" t="str">
        <f t="shared" si="12"/>
        <v/>
      </c>
      <c r="I59" s="26" t="str">
        <f t="shared" si="8"/>
        <v/>
      </c>
      <c r="J59" s="8"/>
      <c r="K59" s="8"/>
      <c r="L59" s="8"/>
      <c r="M59" s="8"/>
      <c r="N59" s="11"/>
      <c r="O59" s="11"/>
      <c r="P59" s="11"/>
      <c r="Q59" s="8"/>
    </row>
    <row r="60" spans="1:17" ht="11.7" customHeight="1" x14ac:dyDescent="0.3">
      <c r="A60" s="8"/>
      <c r="B60" s="20" t="str">
        <f>IF(ISTEXT(B59),"",IF(MAX(B$39:B59)=Q$223,"",B59+1))</f>
        <v/>
      </c>
      <c r="C60" s="26" t="str">
        <f t="shared" si="9"/>
        <v/>
      </c>
      <c r="D60" s="26" t="str">
        <f t="shared" si="10"/>
        <v/>
      </c>
      <c r="E60" s="26" t="str">
        <f t="shared" si="6"/>
        <v/>
      </c>
      <c r="F60" s="26" t="str">
        <f t="shared" si="7"/>
        <v/>
      </c>
      <c r="G60" s="26" t="str">
        <f t="shared" si="11"/>
        <v/>
      </c>
      <c r="H60" s="26" t="str">
        <f t="shared" si="12"/>
        <v/>
      </c>
      <c r="I60" s="26" t="str">
        <f t="shared" si="8"/>
        <v/>
      </c>
      <c r="J60" s="8"/>
      <c r="K60" s="8"/>
      <c r="L60" s="8"/>
      <c r="M60" s="8"/>
      <c r="N60" s="11"/>
      <c r="O60" s="11"/>
      <c r="P60" s="11"/>
      <c r="Q60" s="8"/>
    </row>
    <row r="61" spans="1:17" ht="11.7" customHeight="1" x14ac:dyDescent="0.3">
      <c r="A61" s="8"/>
      <c r="B61" s="20" t="str">
        <f>IF(ISTEXT(B60),"",IF(MAX(B$39:B60)=Q$223,"",B60+1))</f>
        <v/>
      </c>
      <c r="C61" s="26" t="str">
        <f t="shared" si="9"/>
        <v/>
      </c>
      <c r="D61" s="26" t="str">
        <f t="shared" si="10"/>
        <v/>
      </c>
      <c r="E61" s="26" t="str">
        <f t="shared" si="6"/>
        <v/>
      </c>
      <c r="F61" s="26" t="str">
        <f t="shared" si="7"/>
        <v/>
      </c>
      <c r="G61" s="26" t="str">
        <f t="shared" si="11"/>
        <v/>
      </c>
      <c r="H61" s="26" t="str">
        <f t="shared" si="12"/>
        <v/>
      </c>
      <c r="I61" s="26" t="str">
        <f t="shared" si="8"/>
        <v/>
      </c>
      <c r="J61" s="8"/>
      <c r="K61" s="8"/>
      <c r="L61" s="8"/>
      <c r="M61" s="8"/>
      <c r="N61" s="11"/>
      <c r="O61" s="11"/>
      <c r="P61" s="11"/>
      <c r="Q61" s="8"/>
    </row>
    <row r="62" spans="1:17" ht="11.7" customHeight="1" x14ac:dyDescent="0.3">
      <c r="A62" s="8"/>
      <c r="B62" s="20" t="str">
        <f>IF(ISTEXT(B61),"",IF(MAX(B$39:B61)=Q$223,"",B61+1))</f>
        <v/>
      </c>
      <c r="C62" s="26" t="str">
        <f t="shared" si="9"/>
        <v/>
      </c>
      <c r="D62" s="26" t="str">
        <f t="shared" si="10"/>
        <v/>
      </c>
      <c r="E62" s="26" t="str">
        <f t="shared" si="6"/>
        <v/>
      </c>
      <c r="F62" s="26" t="str">
        <f t="shared" si="7"/>
        <v/>
      </c>
      <c r="G62" s="26" t="str">
        <f t="shared" si="11"/>
        <v/>
      </c>
      <c r="H62" s="26" t="str">
        <f t="shared" si="12"/>
        <v/>
      </c>
      <c r="I62" s="26" t="str">
        <f t="shared" si="8"/>
        <v/>
      </c>
      <c r="J62" s="8"/>
      <c r="K62" s="8"/>
      <c r="L62" s="8"/>
      <c r="M62" s="8"/>
      <c r="N62" s="11"/>
      <c r="O62" s="11"/>
      <c r="P62" s="11"/>
      <c r="Q62" s="8"/>
    </row>
    <row r="63" spans="1:17" ht="11.7" customHeight="1" x14ac:dyDescent="0.3">
      <c r="A63" s="8"/>
      <c r="B63" s="20" t="str">
        <f>IF(ISTEXT(B62),"",IF(MAX(B$39:B62)=Q$223,"",B62+1))</f>
        <v/>
      </c>
      <c r="C63" s="26" t="str">
        <f t="shared" si="9"/>
        <v/>
      </c>
      <c r="D63" s="26" t="str">
        <f t="shared" si="10"/>
        <v/>
      </c>
      <c r="E63" s="26" t="str">
        <f t="shared" si="6"/>
        <v/>
      </c>
      <c r="F63" s="26" t="str">
        <f t="shared" si="7"/>
        <v/>
      </c>
      <c r="G63" s="26" t="str">
        <f t="shared" si="11"/>
        <v/>
      </c>
      <c r="H63" s="26" t="str">
        <f t="shared" si="12"/>
        <v/>
      </c>
      <c r="I63" s="26" t="str">
        <f t="shared" si="8"/>
        <v/>
      </c>
      <c r="J63" s="8"/>
      <c r="K63" s="8"/>
      <c r="L63" s="8"/>
      <c r="M63" s="8"/>
      <c r="N63" s="11"/>
      <c r="O63" s="11"/>
      <c r="P63" s="11"/>
      <c r="Q63" s="8"/>
    </row>
    <row r="64" spans="1:17" ht="11.7" customHeight="1" x14ac:dyDescent="0.3">
      <c r="A64" s="8"/>
      <c r="B64" s="20" t="str">
        <f>IF(ISTEXT(B63),"",IF(MAX(B$39:B63)=Q$223,"",B63+1))</f>
        <v/>
      </c>
      <c r="C64" s="26" t="str">
        <f t="shared" si="9"/>
        <v/>
      </c>
      <c r="D64" s="26" t="str">
        <f t="shared" si="10"/>
        <v/>
      </c>
      <c r="E64" s="26" t="str">
        <f t="shared" si="6"/>
        <v/>
      </c>
      <c r="F64" s="26" t="str">
        <f t="shared" si="7"/>
        <v/>
      </c>
      <c r="G64" s="26" t="str">
        <f t="shared" si="11"/>
        <v/>
      </c>
      <c r="H64" s="26" t="str">
        <f t="shared" si="12"/>
        <v/>
      </c>
      <c r="I64" s="26" t="str">
        <f t="shared" si="8"/>
        <v/>
      </c>
      <c r="J64" s="8"/>
      <c r="K64" s="8"/>
      <c r="L64" s="8"/>
      <c r="M64" s="8"/>
      <c r="N64" s="11"/>
      <c r="O64" s="11"/>
      <c r="P64" s="11"/>
      <c r="Q64" s="8"/>
    </row>
    <row r="65" spans="1:17" ht="11.7" customHeight="1" x14ac:dyDescent="0.3">
      <c r="A65" s="8"/>
      <c r="B65" s="20" t="str">
        <f>IF(ISTEXT(B64),"",IF(MAX(B$39:B64)=Q$223,"",B64+1))</f>
        <v/>
      </c>
      <c r="C65" s="26" t="str">
        <f t="shared" si="9"/>
        <v/>
      </c>
      <c r="D65" s="26" t="str">
        <f t="shared" si="10"/>
        <v/>
      </c>
      <c r="E65" s="26" t="str">
        <f t="shared" si="6"/>
        <v/>
      </c>
      <c r="F65" s="26" t="str">
        <f t="shared" si="7"/>
        <v/>
      </c>
      <c r="G65" s="26" t="str">
        <f t="shared" si="11"/>
        <v/>
      </c>
      <c r="H65" s="26" t="str">
        <f t="shared" si="12"/>
        <v/>
      </c>
      <c r="I65" s="26" t="str">
        <f t="shared" si="8"/>
        <v/>
      </c>
      <c r="J65" s="8"/>
      <c r="K65" s="8"/>
      <c r="L65" s="8"/>
      <c r="M65" s="8"/>
      <c r="N65" s="11"/>
      <c r="O65" s="11"/>
      <c r="P65" s="11"/>
      <c r="Q65" s="8"/>
    </row>
    <row r="66" spans="1:17" ht="11.7" customHeight="1" x14ac:dyDescent="0.3">
      <c r="A66" s="8"/>
      <c r="B66" s="20" t="str">
        <f>IF(ISTEXT(B65),"",IF(MAX(B$39:B65)=Q$223,"",B65+1))</f>
        <v/>
      </c>
      <c r="C66" s="26" t="str">
        <f t="shared" si="9"/>
        <v/>
      </c>
      <c r="D66" s="26" t="str">
        <f t="shared" si="10"/>
        <v/>
      </c>
      <c r="E66" s="26" t="str">
        <f t="shared" si="6"/>
        <v/>
      </c>
      <c r="F66" s="26" t="str">
        <f t="shared" si="7"/>
        <v/>
      </c>
      <c r="G66" s="26" t="str">
        <f t="shared" si="11"/>
        <v/>
      </c>
      <c r="H66" s="26" t="str">
        <f t="shared" si="12"/>
        <v/>
      </c>
      <c r="I66" s="26" t="str">
        <f t="shared" si="8"/>
        <v/>
      </c>
      <c r="J66" s="8"/>
      <c r="K66" s="8"/>
      <c r="L66" s="8"/>
      <c r="M66" s="8"/>
      <c r="N66" s="11"/>
      <c r="O66" s="11"/>
      <c r="P66" s="11"/>
      <c r="Q66" s="8"/>
    </row>
    <row r="67" spans="1:17" ht="11.7" customHeight="1" x14ac:dyDescent="0.3">
      <c r="A67" s="8"/>
      <c r="B67" s="20" t="str">
        <f>IF(ISTEXT(B66),"",IF(MAX(B$39:B66)=Q$223,"",B66+1))</f>
        <v/>
      </c>
      <c r="C67" s="26" t="str">
        <f t="shared" si="9"/>
        <v/>
      </c>
      <c r="D67" s="26" t="str">
        <f t="shared" si="10"/>
        <v/>
      </c>
      <c r="E67" s="26" t="str">
        <f t="shared" si="6"/>
        <v/>
      </c>
      <c r="F67" s="26" t="str">
        <f t="shared" si="7"/>
        <v/>
      </c>
      <c r="G67" s="26" t="str">
        <f t="shared" si="11"/>
        <v/>
      </c>
      <c r="H67" s="26" t="str">
        <f t="shared" si="12"/>
        <v/>
      </c>
      <c r="I67" s="26" t="str">
        <f t="shared" si="8"/>
        <v/>
      </c>
      <c r="J67" s="8"/>
      <c r="K67" s="8"/>
      <c r="L67" s="8"/>
      <c r="M67" s="8"/>
      <c r="N67" s="11"/>
      <c r="O67" s="11"/>
      <c r="P67" s="11"/>
      <c r="Q67" s="8"/>
    </row>
    <row r="68" spans="1:17" ht="11.7" customHeight="1" x14ac:dyDescent="0.3">
      <c r="A68" s="8"/>
      <c r="B68" s="20" t="str">
        <f>IF(ISTEXT(B67),"",IF(MAX(B$39:B67)=Q$223,"",B67+1))</f>
        <v/>
      </c>
      <c r="C68" s="26" t="str">
        <f t="shared" si="9"/>
        <v/>
      </c>
      <c r="D68" s="26" t="str">
        <f t="shared" si="10"/>
        <v/>
      </c>
      <c r="E68" s="26" t="str">
        <f t="shared" si="6"/>
        <v/>
      </c>
      <c r="F68" s="26" t="str">
        <f t="shared" si="7"/>
        <v/>
      </c>
      <c r="G68" s="26" t="str">
        <f t="shared" si="11"/>
        <v/>
      </c>
      <c r="H68" s="26" t="str">
        <f t="shared" si="12"/>
        <v/>
      </c>
      <c r="I68" s="26" t="str">
        <f t="shared" si="8"/>
        <v/>
      </c>
      <c r="J68" s="8"/>
      <c r="K68" s="8"/>
      <c r="L68" s="8"/>
      <c r="M68" s="8"/>
      <c r="N68" s="11"/>
      <c r="O68" s="11"/>
      <c r="P68" s="11"/>
      <c r="Q68" s="8"/>
    </row>
    <row r="69" spans="1:17" x14ac:dyDescent="0.3">
      <c r="A69" s="5"/>
      <c r="B69" s="5"/>
      <c r="C69" s="27"/>
      <c r="D69" s="27"/>
      <c r="E69" s="27"/>
      <c r="F69" s="27"/>
      <c r="G69" s="27"/>
      <c r="H69" s="27"/>
      <c r="I69" s="27"/>
      <c r="J69" s="5"/>
      <c r="K69" s="5"/>
      <c r="L69" s="5"/>
      <c r="M69" s="5"/>
      <c r="N69" s="7"/>
      <c r="O69" s="7"/>
      <c r="P69" s="7"/>
      <c r="Q69" s="5"/>
    </row>
    <row r="70" spans="1:17" x14ac:dyDescent="0.3">
      <c r="A70" s="5"/>
      <c r="B70" s="5"/>
      <c r="C70" s="27"/>
      <c r="D70" s="27"/>
      <c r="E70" s="27"/>
      <c r="F70" s="27"/>
      <c r="G70" s="27"/>
      <c r="H70" s="27"/>
      <c r="I70" s="27"/>
      <c r="J70" s="5"/>
      <c r="K70" s="5"/>
      <c r="L70" s="5"/>
      <c r="M70" s="5"/>
      <c r="N70" s="7"/>
      <c r="O70" s="7"/>
      <c r="P70" s="7"/>
      <c r="Q70" s="5"/>
    </row>
    <row r="71" spans="1:17" x14ac:dyDescent="0.3">
      <c r="A71" s="5"/>
      <c r="B71" s="5"/>
      <c r="C71" s="27"/>
      <c r="D71" s="27"/>
      <c r="E71" s="27"/>
      <c r="F71" s="27"/>
      <c r="G71" s="27"/>
      <c r="H71" s="27"/>
      <c r="I71" s="27"/>
      <c r="J71" s="5"/>
      <c r="K71" s="5"/>
      <c r="L71" s="5"/>
      <c r="M71" s="5"/>
      <c r="N71" s="7"/>
      <c r="O71" s="7"/>
      <c r="P71" s="7"/>
      <c r="Q71" s="5"/>
    </row>
    <row r="72" spans="1:17" x14ac:dyDescent="0.3">
      <c r="A72" s="5"/>
      <c r="B72" s="5"/>
      <c r="C72" s="27"/>
      <c r="D72" s="27"/>
      <c r="E72" s="27"/>
      <c r="F72" s="27"/>
      <c r="G72" s="27"/>
      <c r="H72" s="27"/>
      <c r="I72" s="27"/>
      <c r="J72" s="5"/>
      <c r="K72" s="5"/>
      <c r="L72" s="5"/>
      <c r="M72" s="5"/>
      <c r="N72" s="7"/>
      <c r="O72" s="7"/>
      <c r="P72" s="7"/>
      <c r="Q72" s="5"/>
    </row>
    <row r="73" spans="1:17" x14ac:dyDescent="0.3">
      <c r="A73" s="5"/>
      <c r="B73" s="5"/>
      <c r="C73" s="27"/>
      <c r="D73" s="27"/>
      <c r="E73" s="27"/>
      <c r="F73" s="27"/>
      <c r="G73" s="27"/>
      <c r="H73" s="27"/>
      <c r="I73" s="27"/>
      <c r="J73" s="5"/>
      <c r="K73" s="5"/>
      <c r="L73" s="5"/>
      <c r="M73" s="5"/>
      <c r="N73" s="7"/>
      <c r="O73" s="7"/>
      <c r="P73" s="7"/>
      <c r="Q73" s="5"/>
    </row>
    <row r="74" spans="1:17" x14ac:dyDescent="0.3">
      <c r="A74" s="5"/>
      <c r="B74" s="5"/>
      <c r="C74" s="27"/>
      <c r="D74" s="27"/>
      <c r="E74" s="27"/>
      <c r="F74" s="27"/>
      <c r="G74" s="27"/>
      <c r="H74" s="27"/>
      <c r="I74" s="27"/>
      <c r="J74" s="5"/>
      <c r="K74" s="5"/>
      <c r="L74" s="5"/>
      <c r="M74" s="5"/>
      <c r="N74" s="7"/>
      <c r="O74" s="7"/>
      <c r="P74" s="7"/>
      <c r="Q74" s="5"/>
    </row>
    <row r="75" spans="1:17" x14ac:dyDescent="0.3">
      <c r="A75" s="5"/>
      <c r="B75" s="5"/>
      <c r="C75" s="27"/>
      <c r="D75" s="27"/>
      <c r="E75" s="27"/>
      <c r="F75" s="27"/>
      <c r="G75" s="27"/>
      <c r="H75" s="27"/>
      <c r="I75" s="27"/>
      <c r="J75" s="5"/>
      <c r="K75" s="5"/>
      <c r="L75" s="5"/>
      <c r="M75" s="5"/>
      <c r="N75" s="7"/>
      <c r="O75" s="7"/>
      <c r="P75" s="7"/>
      <c r="Q75" s="5"/>
    </row>
    <row r="76" spans="1:17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7"/>
      <c r="P76" s="7"/>
      <c r="Q76" s="5"/>
    </row>
    <row r="77" spans="1:17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7"/>
      <c r="P77" s="7"/>
      <c r="Q77" s="5"/>
    </row>
    <row r="78" spans="1:17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7"/>
      <c r="P78" s="7"/>
      <c r="Q78" s="5"/>
    </row>
    <row r="79" spans="1:17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7"/>
      <c r="P79" s="7"/>
      <c r="Q79" s="5"/>
    </row>
    <row r="80" spans="1:17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7"/>
      <c r="P80" s="7"/>
      <c r="Q80" s="5"/>
    </row>
    <row r="81" spans="1:17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7"/>
      <c r="P81" s="7"/>
      <c r="Q81" s="5"/>
    </row>
    <row r="82" spans="1:17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7"/>
      <c r="P82" s="7"/>
      <c r="Q82" s="5"/>
    </row>
    <row r="83" spans="1:17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7"/>
      <c r="P83" s="7"/>
      <c r="Q83" s="5"/>
    </row>
    <row r="84" spans="1:17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7"/>
      <c r="P84" s="7"/>
      <c r="Q84" s="5"/>
    </row>
    <row r="85" spans="1:17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7"/>
      <c r="P85" s="7"/>
      <c r="Q85" s="5"/>
    </row>
    <row r="86" spans="1:17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7"/>
      <c r="O86" s="7"/>
      <c r="P86" s="7"/>
      <c r="Q86" s="5"/>
    </row>
    <row r="87" spans="1:17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7"/>
      <c r="O87" s="7"/>
      <c r="P87" s="7"/>
      <c r="Q87" s="5"/>
    </row>
    <row r="88" spans="1:17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7"/>
      <c r="O88" s="7"/>
      <c r="P88" s="7"/>
      <c r="Q88" s="5"/>
    </row>
    <row r="89" spans="1:17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7"/>
      <c r="O89" s="7"/>
      <c r="P89" s="7"/>
      <c r="Q89" s="5"/>
    </row>
    <row r="90" spans="1:17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7"/>
      <c r="O90" s="7"/>
      <c r="P90" s="7"/>
      <c r="Q90" s="5"/>
    </row>
    <row r="91" spans="1:17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7"/>
      <c r="O91" s="7"/>
      <c r="P91" s="7"/>
      <c r="Q91" s="5"/>
    </row>
    <row r="92" spans="1:17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7"/>
      <c r="O92" s="7"/>
      <c r="P92" s="7"/>
      <c r="Q92" s="5"/>
    </row>
    <row r="93" spans="1:17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7"/>
      <c r="O93" s="7"/>
      <c r="P93" s="7"/>
      <c r="Q93" s="5"/>
    </row>
    <row r="94" spans="1:17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7"/>
      <c r="O94" s="7"/>
      <c r="P94" s="7"/>
      <c r="Q94" s="5"/>
    </row>
    <row r="95" spans="1:17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7"/>
      <c r="O95" s="7"/>
      <c r="P95" s="7"/>
      <c r="Q95" s="5"/>
    </row>
    <row r="96" spans="1:17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7"/>
      <c r="O96" s="7"/>
      <c r="P96" s="7"/>
      <c r="Q96" s="5"/>
    </row>
    <row r="97" spans="1:17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7"/>
      <c r="O97" s="7"/>
      <c r="P97" s="7"/>
      <c r="Q97" s="5"/>
    </row>
    <row r="98" spans="1:17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7"/>
      <c r="O98" s="7"/>
      <c r="P98" s="7"/>
      <c r="Q98" s="5"/>
    </row>
    <row r="99" spans="1:17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7"/>
      <c r="O99" s="7"/>
      <c r="P99" s="7"/>
      <c r="Q99" s="5"/>
    </row>
    <row r="100" spans="1:17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7"/>
      <c r="O100" s="7"/>
      <c r="P100" s="7"/>
      <c r="Q100" s="5"/>
    </row>
    <row r="101" spans="1:17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7"/>
      <c r="O101" s="7"/>
      <c r="P101" s="7"/>
      <c r="Q101" s="5"/>
    </row>
    <row r="102" spans="1:17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7"/>
      <c r="O102" s="7"/>
      <c r="P102" s="7"/>
      <c r="Q102" s="5"/>
    </row>
    <row r="103" spans="1:17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5"/>
    </row>
    <row r="104" spans="1:17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/>
      <c r="O104" s="7"/>
      <c r="P104" s="7"/>
      <c r="Q104" s="5"/>
    </row>
    <row r="105" spans="1:17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7"/>
      <c r="O105" s="7"/>
      <c r="P105" s="7"/>
      <c r="Q105" s="5"/>
    </row>
    <row r="106" spans="1:17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7"/>
      <c r="O106" s="7"/>
      <c r="P106" s="7"/>
      <c r="Q106" s="5"/>
    </row>
    <row r="107" spans="1:17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7"/>
      <c r="O107" s="7"/>
      <c r="P107" s="7"/>
      <c r="Q107" s="5"/>
    </row>
    <row r="108" spans="1:17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7"/>
      <c r="O108" s="7"/>
      <c r="P108" s="7"/>
      <c r="Q108" s="5"/>
    </row>
    <row r="109" spans="1:17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7"/>
      <c r="O109" s="7"/>
      <c r="P109" s="7"/>
      <c r="Q109" s="5"/>
    </row>
    <row r="110" spans="1:17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7"/>
      <c r="O110" s="7"/>
      <c r="P110" s="7"/>
      <c r="Q110" s="5"/>
    </row>
    <row r="111" spans="1:17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7"/>
      <c r="O111" s="7"/>
      <c r="P111" s="7"/>
      <c r="Q111" s="5"/>
    </row>
    <row r="112" spans="1:17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7"/>
      <c r="O112" s="7"/>
      <c r="P112" s="7"/>
      <c r="Q112" s="5"/>
    </row>
    <row r="113" spans="1:17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7"/>
      <c r="O113" s="7"/>
      <c r="P113" s="7"/>
      <c r="Q113" s="5"/>
    </row>
    <row r="114" spans="1:17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7"/>
      <c r="O114" s="7"/>
      <c r="P114" s="7"/>
      <c r="Q114" s="5"/>
    </row>
    <row r="115" spans="1:17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7"/>
      <c r="O115" s="7"/>
      <c r="P115" s="7"/>
      <c r="Q115" s="5"/>
    </row>
    <row r="116" spans="1:17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7"/>
      <c r="O116" s="7"/>
      <c r="P116" s="7"/>
      <c r="Q116" s="5"/>
    </row>
    <row r="117" spans="1:17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7"/>
      <c r="O117" s="7"/>
      <c r="P117" s="7"/>
      <c r="Q117" s="5"/>
    </row>
    <row r="118" spans="1:17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7"/>
      <c r="O118" s="7"/>
      <c r="P118" s="7"/>
      <c r="Q118" s="5"/>
    </row>
    <row r="119" spans="1:17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7"/>
      <c r="O119" s="7"/>
      <c r="P119" s="7"/>
      <c r="Q119" s="5"/>
    </row>
    <row r="120" spans="1:17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7"/>
      <c r="O120" s="7"/>
      <c r="P120" s="7"/>
      <c r="Q120" s="5"/>
    </row>
    <row r="121" spans="1:17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7"/>
      <c r="O121" s="7"/>
      <c r="P121" s="7"/>
      <c r="Q121" s="5"/>
    </row>
    <row r="122" spans="1:17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7"/>
      <c r="O122" s="7"/>
      <c r="P122" s="7"/>
      <c r="Q122" s="5"/>
    </row>
    <row r="123" spans="1:17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7"/>
      <c r="O123" s="7"/>
      <c r="P123" s="7"/>
      <c r="Q123" s="5"/>
    </row>
    <row r="124" spans="1:17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7"/>
      <c r="O124" s="7"/>
      <c r="P124" s="7"/>
      <c r="Q124" s="5"/>
    </row>
    <row r="125" spans="1:17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7"/>
      <c r="O125" s="7"/>
      <c r="P125" s="7"/>
      <c r="Q125" s="5"/>
    </row>
    <row r="126" spans="1:17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7"/>
      <c r="O126" s="7"/>
      <c r="P126" s="7"/>
      <c r="Q126" s="5"/>
    </row>
    <row r="127" spans="1:17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7"/>
      <c r="O127" s="7"/>
      <c r="P127" s="7"/>
      <c r="Q127" s="5"/>
    </row>
    <row r="128" spans="1:17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7"/>
      <c r="O128" s="7"/>
      <c r="P128" s="7"/>
      <c r="Q128" s="5"/>
    </row>
    <row r="129" spans="1:17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7"/>
      <c r="O129" s="7"/>
      <c r="P129" s="7"/>
      <c r="Q129" s="5"/>
    </row>
    <row r="130" spans="1:17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7"/>
      <c r="O130" s="7"/>
      <c r="P130" s="7"/>
      <c r="Q130" s="5"/>
    </row>
    <row r="131" spans="1:17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7"/>
      <c r="O131" s="7"/>
      <c r="P131" s="7"/>
      <c r="Q131" s="5"/>
    </row>
    <row r="132" spans="1:17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7"/>
      <c r="O132" s="7"/>
      <c r="P132" s="7"/>
      <c r="Q132" s="5"/>
    </row>
    <row r="133" spans="1:17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7"/>
      <c r="O133" s="7"/>
      <c r="P133" s="7"/>
      <c r="Q133" s="5"/>
    </row>
    <row r="134" spans="1:17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7"/>
      <c r="O134" s="7"/>
      <c r="P134" s="7"/>
      <c r="Q134" s="5"/>
    </row>
    <row r="135" spans="1:17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7"/>
      <c r="O135" s="7"/>
      <c r="P135" s="7"/>
      <c r="Q135" s="5"/>
    </row>
    <row r="136" spans="1:17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7"/>
      <c r="O136" s="7"/>
      <c r="P136" s="7"/>
      <c r="Q136" s="5"/>
    </row>
    <row r="137" spans="1:17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7"/>
      <c r="O137" s="7"/>
      <c r="P137" s="7"/>
      <c r="Q137" s="5"/>
    </row>
    <row r="138" spans="1:17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7"/>
      <c r="O138" s="7"/>
      <c r="P138" s="7"/>
      <c r="Q138" s="5"/>
    </row>
    <row r="139" spans="1:17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7"/>
      <c r="O139" s="7"/>
      <c r="P139" s="7"/>
      <c r="Q139" s="5"/>
    </row>
    <row r="140" spans="1:17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7"/>
      <c r="O140" s="7"/>
      <c r="P140" s="7"/>
      <c r="Q140" s="5"/>
    </row>
    <row r="141" spans="1:17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7"/>
      <c r="O141" s="7"/>
      <c r="P141" s="7"/>
      <c r="Q141" s="5"/>
    </row>
    <row r="142" spans="1:17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7"/>
      <c r="O142" s="7"/>
      <c r="P142" s="7"/>
      <c r="Q142" s="5"/>
    </row>
    <row r="143" spans="1:17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7"/>
      <c r="O143" s="7"/>
      <c r="P143" s="7"/>
      <c r="Q143" s="5"/>
    </row>
    <row r="144" spans="1:17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7"/>
      <c r="O144" s="7"/>
      <c r="P144" s="7"/>
      <c r="Q144" s="5"/>
    </row>
    <row r="145" spans="1:17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7"/>
      <c r="O145" s="7"/>
      <c r="P145" s="7"/>
      <c r="Q145" s="5"/>
    </row>
    <row r="146" spans="1:17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7"/>
      <c r="O146" s="7"/>
      <c r="P146" s="7"/>
      <c r="Q146" s="5"/>
    </row>
    <row r="147" spans="1:17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7"/>
      <c r="O147" s="7"/>
      <c r="P147" s="7"/>
      <c r="Q147" s="5"/>
    </row>
    <row r="148" spans="1:17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7"/>
      <c r="O148" s="7"/>
      <c r="P148" s="7"/>
      <c r="Q148" s="5"/>
    </row>
    <row r="149" spans="1:17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7"/>
      <c r="O149" s="7"/>
      <c r="P149" s="7"/>
      <c r="Q149" s="5"/>
    </row>
    <row r="150" spans="1:17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7"/>
      <c r="O150" s="7"/>
      <c r="P150" s="7"/>
      <c r="Q150" s="5"/>
    </row>
    <row r="151" spans="1:17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7"/>
      <c r="O151" s="7"/>
      <c r="P151" s="7"/>
      <c r="Q151" s="5"/>
    </row>
    <row r="152" spans="1:17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7"/>
      <c r="O152" s="7"/>
      <c r="P152" s="7"/>
      <c r="Q152" s="5"/>
    </row>
    <row r="153" spans="1:17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7"/>
      <c r="O153" s="7"/>
      <c r="P153" s="7"/>
      <c r="Q153" s="5"/>
    </row>
    <row r="154" spans="1:17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7"/>
      <c r="O154" s="7"/>
      <c r="P154" s="7"/>
      <c r="Q154" s="5"/>
    </row>
    <row r="155" spans="1:17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7"/>
      <c r="O155" s="7"/>
      <c r="P155" s="7"/>
      <c r="Q155" s="5"/>
    </row>
    <row r="156" spans="1:17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7"/>
      <c r="O156" s="7"/>
      <c r="P156" s="7"/>
      <c r="Q156" s="5"/>
    </row>
    <row r="157" spans="1:17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7"/>
      <c r="O157" s="7"/>
      <c r="P157" s="7"/>
      <c r="Q157" s="5"/>
    </row>
    <row r="158" spans="1:17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7"/>
      <c r="O158" s="7"/>
      <c r="P158" s="7"/>
      <c r="Q158" s="5"/>
    </row>
    <row r="159" spans="1:17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7"/>
      <c r="O159" s="7"/>
      <c r="P159" s="7"/>
      <c r="Q159" s="5"/>
    </row>
    <row r="160" spans="1:17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7"/>
      <c r="O160" s="7"/>
      <c r="P160" s="7"/>
      <c r="Q160" s="5"/>
    </row>
    <row r="161" spans="1:17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7"/>
      <c r="O161" s="7"/>
      <c r="P161" s="7"/>
      <c r="Q161" s="5"/>
    </row>
    <row r="162" spans="1:17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7"/>
      <c r="O162" s="7"/>
      <c r="P162" s="7"/>
      <c r="Q162" s="5"/>
    </row>
    <row r="163" spans="1:17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7"/>
      <c r="O163" s="7"/>
      <c r="P163" s="7"/>
      <c r="Q163" s="5"/>
    </row>
    <row r="164" spans="1:17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7"/>
      <c r="O164" s="7"/>
      <c r="P164" s="7"/>
      <c r="Q164" s="5"/>
    </row>
    <row r="165" spans="1:17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7"/>
      <c r="O165" s="7"/>
      <c r="P165" s="7"/>
      <c r="Q165" s="5"/>
    </row>
    <row r="166" spans="1:17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7"/>
      <c r="O166" s="7"/>
      <c r="P166" s="7"/>
      <c r="Q166" s="5"/>
    </row>
    <row r="167" spans="1:17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7"/>
      <c r="O167" s="7"/>
      <c r="P167" s="7"/>
      <c r="Q167" s="5"/>
    </row>
    <row r="168" spans="1:17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7"/>
      <c r="O168" s="7"/>
      <c r="P168" s="7"/>
      <c r="Q168" s="5"/>
    </row>
    <row r="169" spans="1:17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7"/>
      <c r="O169" s="7"/>
      <c r="P169" s="7"/>
      <c r="Q169" s="5"/>
    </row>
    <row r="170" spans="1:17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7"/>
      <c r="O170" s="7"/>
      <c r="P170" s="7"/>
      <c r="Q170" s="5"/>
    </row>
    <row r="171" spans="1:17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7"/>
      <c r="O171" s="7"/>
      <c r="P171" s="7"/>
      <c r="Q171" s="5"/>
    </row>
    <row r="172" spans="1:17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7"/>
      <c r="O172" s="7"/>
      <c r="P172" s="7"/>
      <c r="Q172" s="5"/>
    </row>
    <row r="173" spans="1:17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7"/>
      <c r="O173" s="7"/>
      <c r="P173" s="7"/>
      <c r="Q173" s="5"/>
    </row>
    <row r="174" spans="1:17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7"/>
      <c r="O174" s="7"/>
      <c r="P174" s="7"/>
      <c r="Q174" s="5"/>
    </row>
    <row r="175" spans="1:17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7"/>
      <c r="O175" s="7"/>
      <c r="P175" s="7"/>
      <c r="Q175" s="5"/>
    </row>
    <row r="176" spans="1:17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7"/>
      <c r="O176" s="7"/>
      <c r="P176" s="7"/>
      <c r="Q176" s="5"/>
    </row>
    <row r="177" spans="1:17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7"/>
      <c r="O177" s="7"/>
      <c r="P177" s="7"/>
      <c r="Q177" s="5"/>
    </row>
    <row r="178" spans="1:17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7"/>
      <c r="O178" s="7"/>
      <c r="P178" s="7"/>
      <c r="Q178" s="5"/>
    </row>
    <row r="179" spans="1:17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7"/>
      <c r="O179" s="7"/>
      <c r="P179" s="7"/>
      <c r="Q179" s="5"/>
    </row>
    <row r="180" spans="1:17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7"/>
      <c r="O180" s="7"/>
      <c r="P180" s="7"/>
      <c r="Q180" s="5"/>
    </row>
    <row r="181" spans="1:17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7"/>
      <c r="O181" s="7"/>
      <c r="P181" s="7"/>
      <c r="Q181" s="5"/>
    </row>
    <row r="182" spans="1:17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7"/>
      <c r="O182" s="7"/>
      <c r="P182" s="7"/>
      <c r="Q182" s="5"/>
    </row>
    <row r="183" spans="1:17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7"/>
      <c r="O183" s="7"/>
      <c r="P183" s="7"/>
      <c r="Q183" s="5"/>
    </row>
    <row r="184" spans="1:17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7"/>
      <c r="O184" s="7"/>
      <c r="P184" s="7"/>
      <c r="Q184" s="5"/>
    </row>
    <row r="185" spans="1:17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7"/>
      <c r="O185" s="7"/>
      <c r="P185" s="7"/>
      <c r="Q185" s="5"/>
    </row>
    <row r="186" spans="1:17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7"/>
      <c r="O186" s="7"/>
      <c r="P186" s="7"/>
      <c r="Q186" s="5"/>
    </row>
    <row r="187" spans="1:17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7"/>
      <c r="O187" s="7"/>
      <c r="P187" s="7"/>
      <c r="Q187" s="5"/>
    </row>
    <row r="188" spans="1:17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7"/>
      <c r="O188" s="7"/>
      <c r="P188" s="7"/>
      <c r="Q188" s="5"/>
    </row>
    <row r="189" spans="1:17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7"/>
      <c r="O189" s="7"/>
      <c r="P189" s="7"/>
      <c r="Q189" s="5"/>
    </row>
    <row r="190" spans="1:17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7"/>
      <c r="O190" s="7"/>
      <c r="P190" s="7"/>
      <c r="Q190" s="5"/>
    </row>
    <row r="191" spans="1:17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7"/>
      <c r="O191" s="7"/>
      <c r="P191" s="7"/>
      <c r="Q191" s="5"/>
    </row>
    <row r="192" spans="1:17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7"/>
      <c r="O192" s="7"/>
      <c r="P192" s="7"/>
      <c r="Q192" s="5"/>
    </row>
    <row r="193" spans="1:17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7"/>
      <c r="O193" s="7"/>
      <c r="P193" s="7"/>
      <c r="Q193" s="5"/>
    </row>
    <row r="194" spans="1:17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7"/>
      <c r="O194" s="7"/>
      <c r="P194" s="7"/>
      <c r="Q194" s="5"/>
    </row>
    <row r="195" spans="1:17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7"/>
      <c r="O195" s="7"/>
      <c r="P195" s="7"/>
      <c r="Q195" s="5"/>
    </row>
    <row r="196" spans="1:17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7"/>
      <c r="O196" s="7"/>
      <c r="P196" s="7"/>
      <c r="Q196" s="5"/>
    </row>
    <row r="197" spans="1:17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7"/>
      <c r="O197" s="7"/>
      <c r="P197" s="7"/>
      <c r="Q197" s="5"/>
    </row>
    <row r="198" spans="1:17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7"/>
      <c r="O198" s="7"/>
      <c r="P198" s="7"/>
      <c r="Q198" s="5"/>
    </row>
    <row r="199" spans="1:17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7"/>
      <c r="O199" s="7"/>
      <c r="P199" s="7"/>
      <c r="Q199" s="5"/>
    </row>
    <row r="200" spans="1:17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7"/>
      <c r="O200" s="7"/>
      <c r="P200" s="7"/>
      <c r="Q200" s="5"/>
    </row>
    <row r="201" spans="1:17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7"/>
      <c r="O201" s="7"/>
      <c r="P201" s="7"/>
      <c r="Q201" s="5"/>
    </row>
    <row r="202" spans="1:17" ht="15" hidden="1" thickTop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8" t="s">
        <v>28</v>
      </c>
      <c r="N202" s="29"/>
      <c r="O202" s="29"/>
      <c r="P202" s="29"/>
      <c r="Q202" s="30"/>
    </row>
    <row r="203" spans="1:17" hidden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1"/>
      <c r="N203" s="32"/>
      <c r="O203" s="32"/>
      <c r="P203" s="32"/>
      <c r="Q203" s="33"/>
    </row>
    <row r="204" spans="1:17" hidden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1">
        <v>1</v>
      </c>
      <c r="N204" s="32" t="s">
        <v>29</v>
      </c>
      <c r="O204" s="32">
        <f>IF(ISNA(MATCH(PROPER(LEFT(E8,3)),Q204:Q215,0)),1,MATCH(PROPER(LEFT(E8,3)),Q204:Q215,0))</f>
        <v>3</v>
      </c>
      <c r="P204" s="32"/>
      <c r="Q204" s="33" t="s">
        <v>29</v>
      </c>
    </row>
    <row r="205" spans="1:17" hidden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1">
        <v>2</v>
      </c>
      <c r="N205" s="32" t="s">
        <v>30</v>
      </c>
      <c r="O205" s="32">
        <f t="shared" ref="O205:O215" si="13">IF(O204=12,1,O204+1)</f>
        <v>4</v>
      </c>
      <c r="P205" s="32"/>
      <c r="Q205" s="33" t="s">
        <v>30</v>
      </c>
    </row>
    <row r="206" spans="1:17" hidden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1">
        <v>3</v>
      </c>
      <c r="N206" s="32" t="s">
        <v>31</v>
      </c>
      <c r="O206" s="32">
        <f t="shared" si="13"/>
        <v>5</v>
      </c>
      <c r="P206" s="32"/>
      <c r="Q206" s="33" t="s">
        <v>31</v>
      </c>
    </row>
    <row r="207" spans="1:17" hidden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1">
        <v>4</v>
      </c>
      <c r="N207" s="32" t="s">
        <v>32</v>
      </c>
      <c r="O207" s="32">
        <f t="shared" si="13"/>
        <v>6</v>
      </c>
      <c r="P207" s="32"/>
      <c r="Q207" s="33" t="s">
        <v>32</v>
      </c>
    </row>
    <row r="208" spans="1:17" hidden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1">
        <v>5</v>
      </c>
      <c r="N208" s="32" t="s">
        <v>33</v>
      </c>
      <c r="O208" s="32">
        <f t="shared" si="13"/>
        <v>7</v>
      </c>
      <c r="P208" s="32"/>
      <c r="Q208" s="33" t="s">
        <v>33</v>
      </c>
    </row>
    <row r="209" spans="1:17" hidden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1">
        <v>6</v>
      </c>
      <c r="N209" s="32" t="s">
        <v>34</v>
      </c>
      <c r="O209" s="32">
        <f t="shared" si="13"/>
        <v>8</v>
      </c>
      <c r="P209" s="32"/>
      <c r="Q209" s="33" t="s">
        <v>34</v>
      </c>
    </row>
    <row r="210" spans="1:17" hidden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1">
        <v>7</v>
      </c>
      <c r="N210" s="32" t="s">
        <v>35</v>
      </c>
      <c r="O210" s="32">
        <f t="shared" si="13"/>
        <v>9</v>
      </c>
      <c r="P210" s="32"/>
      <c r="Q210" s="33" t="s">
        <v>35</v>
      </c>
    </row>
    <row r="211" spans="1:17" hidden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1">
        <v>8</v>
      </c>
      <c r="N211" s="32" t="s">
        <v>36</v>
      </c>
      <c r="O211" s="32">
        <f t="shared" si="13"/>
        <v>10</v>
      </c>
      <c r="P211" s="32"/>
      <c r="Q211" s="33" t="s">
        <v>36</v>
      </c>
    </row>
    <row r="212" spans="1:17" hidden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1">
        <v>9</v>
      </c>
      <c r="N212" s="32" t="s">
        <v>37</v>
      </c>
      <c r="O212" s="32">
        <f t="shared" si="13"/>
        <v>11</v>
      </c>
      <c r="P212" s="32"/>
      <c r="Q212" s="33" t="s">
        <v>37</v>
      </c>
    </row>
    <row r="213" spans="1:17" hidden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1">
        <v>10</v>
      </c>
      <c r="N213" s="32" t="s">
        <v>38</v>
      </c>
      <c r="O213" s="32">
        <f t="shared" si="13"/>
        <v>12</v>
      </c>
      <c r="P213" s="32"/>
      <c r="Q213" s="33" t="s">
        <v>38</v>
      </c>
    </row>
    <row r="214" spans="1:17" hidden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1">
        <v>11</v>
      </c>
      <c r="N214" s="32" t="s">
        <v>39</v>
      </c>
      <c r="O214" s="32">
        <f t="shared" si="13"/>
        <v>1</v>
      </c>
      <c r="P214" s="32"/>
      <c r="Q214" s="33" t="s">
        <v>39</v>
      </c>
    </row>
    <row r="215" spans="1:17" hidden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1">
        <v>12</v>
      </c>
      <c r="N215" s="32" t="s">
        <v>40</v>
      </c>
      <c r="O215" s="32">
        <f t="shared" si="13"/>
        <v>2</v>
      </c>
      <c r="P215" s="32"/>
      <c r="Q215" s="33" t="s">
        <v>40</v>
      </c>
    </row>
    <row r="216" spans="1:17" hidden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1"/>
      <c r="N216" s="32"/>
      <c r="O216" s="32"/>
      <c r="P216" s="32"/>
      <c r="Q216" s="33"/>
    </row>
    <row r="217" spans="1:17" hidden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4">
        <f>IF(C12="Jan",24,MATCH("Jan",C12:C23,0)+11)</f>
        <v>22</v>
      </c>
      <c r="N217" s="32">
        <f>Q220-M217</f>
        <v>218</v>
      </c>
      <c r="O217" s="32"/>
      <c r="P217" s="32"/>
      <c r="Q217" s="33"/>
    </row>
    <row r="218" spans="1:17" hidden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1">
        <f t="shared" ref="M218:M246" si="14">MIN(Q$220,M217+12)</f>
        <v>34</v>
      </c>
      <c r="N218" s="32">
        <f>Q220-M218</f>
        <v>206</v>
      </c>
      <c r="O218" s="32"/>
      <c r="P218" s="32"/>
      <c r="Q218" s="33"/>
    </row>
    <row r="219" spans="1:17" hidden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1">
        <f t="shared" si="14"/>
        <v>46</v>
      </c>
      <c r="N219" s="32">
        <f>Q220-M219</f>
        <v>194</v>
      </c>
      <c r="O219" s="32"/>
      <c r="P219" s="32"/>
      <c r="Q219" s="33"/>
    </row>
    <row r="220" spans="1:17" hidden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1">
        <f t="shared" si="14"/>
        <v>58</v>
      </c>
      <c r="N220" s="32">
        <f>Q220-M220</f>
        <v>182</v>
      </c>
      <c r="O220" s="32"/>
      <c r="P220" s="32" t="s">
        <v>41</v>
      </c>
      <c r="Q220" s="33">
        <f>E6*12</f>
        <v>240</v>
      </c>
    </row>
    <row r="221" spans="1:17" hidden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1">
        <f t="shared" si="14"/>
        <v>70</v>
      </c>
      <c r="N221" s="32">
        <f>Q220-M221</f>
        <v>170</v>
      </c>
      <c r="O221" s="32"/>
      <c r="P221" s="32" t="s">
        <v>42</v>
      </c>
      <c r="Q221" s="35">
        <f>E7</f>
        <v>2009</v>
      </c>
    </row>
    <row r="222" spans="1:17" hidden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1">
        <f t="shared" si="14"/>
        <v>82</v>
      </c>
      <c r="N222" s="32">
        <f>Q220-M222</f>
        <v>158</v>
      </c>
      <c r="O222" s="32"/>
      <c r="P222" s="32" t="s">
        <v>43</v>
      </c>
      <c r="Q222" s="33">
        <f>Q220/12</f>
        <v>20</v>
      </c>
    </row>
    <row r="223" spans="1:17" hidden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1">
        <f t="shared" si="14"/>
        <v>94</v>
      </c>
      <c r="N223" s="32">
        <f>Q220-M223</f>
        <v>146</v>
      </c>
      <c r="O223" s="32"/>
      <c r="P223" s="32" t="s">
        <v>44</v>
      </c>
      <c r="Q223" s="35">
        <f>IF(E7,Q222+Q221-IF(PROPER(LEFT(C12,3))="Jan",1,0),"")</f>
        <v>2029</v>
      </c>
    </row>
    <row r="224" spans="1:17" hidden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1">
        <f t="shared" si="14"/>
        <v>106</v>
      </c>
      <c r="N224" s="32">
        <f>Q220-M224</f>
        <v>134</v>
      </c>
      <c r="O224" s="32"/>
      <c r="P224" s="32" t="s">
        <v>45</v>
      </c>
      <c r="Q224" s="33">
        <f>O215</f>
        <v>2</v>
      </c>
    </row>
    <row r="225" spans="1:17" hidden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1">
        <f t="shared" si="14"/>
        <v>118</v>
      </c>
      <c r="N225" s="32">
        <f>Q220-M225</f>
        <v>122</v>
      </c>
      <c r="O225" s="32"/>
      <c r="P225" s="32"/>
      <c r="Q225" s="33"/>
    </row>
    <row r="226" spans="1:17" hidden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1">
        <f t="shared" si="14"/>
        <v>130</v>
      </c>
      <c r="N226" s="32">
        <f>Q220-M226</f>
        <v>110</v>
      </c>
      <c r="O226" s="32"/>
      <c r="P226" s="32"/>
      <c r="Q226" s="33"/>
    </row>
    <row r="227" spans="1:17" hidden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1">
        <f t="shared" si="14"/>
        <v>142</v>
      </c>
      <c r="N227" s="32">
        <f>Q220-M227</f>
        <v>98</v>
      </c>
      <c r="O227" s="32"/>
      <c r="P227" s="32"/>
      <c r="Q227" s="33"/>
    </row>
    <row r="228" spans="1:17" hidden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1">
        <f t="shared" si="14"/>
        <v>154</v>
      </c>
      <c r="N228" s="32">
        <f>Q220-M228</f>
        <v>86</v>
      </c>
      <c r="O228" s="32"/>
      <c r="P228" s="32"/>
      <c r="Q228" s="33"/>
    </row>
    <row r="229" spans="1:17" hidden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1">
        <f t="shared" si="14"/>
        <v>166</v>
      </c>
      <c r="N229" s="32">
        <f>Q220-M229</f>
        <v>74</v>
      </c>
      <c r="O229" s="32"/>
      <c r="P229" s="32"/>
      <c r="Q229" s="33"/>
    </row>
    <row r="230" spans="1:17" hidden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1">
        <f t="shared" si="14"/>
        <v>178</v>
      </c>
      <c r="N230" s="32">
        <f>Q220-M230</f>
        <v>62</v>
      </c>
      <c r="O230" s="32"/>
      <c r="P230" s="32"/>
      <c r="Q230" s="33"/>
    </row>
    <row r="231" spans="1:17" hidden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1">
        <f t="shared" si="14"/>
        <v>190</v>
      </c>
      <c r="N231" s="32">
        <f>Q220-M231</f>
        <v>50</v>
      </c>
      <c r="O231" s="32"/>
      <c r="P231" s="32"/>
      <c r="Q231" s="33"/>
    </row>
    <row r="232" spans="1:17" hidden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1">
        <f t="shared" si="14"/>
        <v>202</v>
      </c>
      <c r="N232" s="32">
        <f>Q220-M232</f>
        <v>38</v>
      </c>
      <c r="O232" s="32"/>
      <c r="P232" s="32"/>
      <c r="Q232" s="33"/>
    </row>
    <row r="233" spans="1:17" hidden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1">
        <f t="shared" si="14"/>
        <v>214</v>
      </c>
      <c r="N233" s="32">
        <f>Q220-M233</f>
        <v>26</v>
      </c>
      <c r="O233" s="32"/>
      <c r="P233" s="32"/>
      <c r="Q233" s="33"/>
    </row>
    <row r="234" spans="1:17" hidden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1">
        <f t="shared" si="14"/>
        <v>226</v>
      </c>
      <c r="N234" s="32">
        <f>Q220-M234</f>
        <v>14</v>
      </c>
      <c r="O234" s="32"/>
      <c r="P234" s="32"/>
      <c r="Q234" s="33"/>
    </row>
    <row r="235" spans="1:17" hidden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1">
        <f t="shared" si="14"/>
        <v>238</v>
      </c>
      <c r="N235" s="32">
        <f>Q220-M235</f>
        <v>2</v>
      </c>
      <c r="O235" s="32"/>
      <c r="P235" s="32"/>
      <c r="Q235" s="33"/>
    </row>
    <row r="236" spans="1:17" hidden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1">
        <f t="shared" si="14"/>
        <v>240</v>
      </c>
      <c r="N236" s="32">
        <f>Q220-M236</f>
        <v>0</v>
      </c>
      <c r="O236" s="32"/>
      <c r="P236" s="32"/>
      <c r="Q236" s="33"/>
    </row>
    <row r="237" spans="1:17" hidden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1">
        <f t="shared" si="14"/>
        <v>240</v>
      </c>
      <c r="N237" s="32">
        <f>Q220-M237</f>
        <v>0</v>
      </c>
      <c r="O237" s="32"/>
      <c r="P237" s="32"/>
      <c r="Q237" s="33"/>
    </row>
    <row r="238" spans="1:17" hidden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1">
        <f t="shared" si="14"/>
        <v>240</v>
      </c>
      <c r="N238" s="32">
        <f>Q220-M238</f>
        <v>0</v>
      </c>
      <c r="O238" s="32"/>
      <c r="P238" s="32"/>
      <c r="Q238" s="33"/>
    </row>
    <row r="239" spans="1:17" hidden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1">
        <f t="shared" si="14"/>
        <v>240</v>
      </c>
      <c r="N239" s="32">
        <f>Q220-M239</f>
        <v>0</v>
      </c>
      <c r="O239" s="32"/>
      <c r="P239" s="32"/>
      <c r="Q239" s="33"/>
    </row>
    <row r="240" spans="1:17" hidden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1">
        <f t="shared" si="14"/>
        <v>240</v>
      </c>
      <c r="N240" s="32">
        <f>Q220-M240</f>
        <v>0</v>
      </c>
      <c r="O240" s="32"/>
      <c r="P240" s="32"/>
      <c r="Q240" s="33"/>
    </row>
    <row r="241" spans="1:17" hidden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1">
        <f t="shared" si="14"/>
        <v>240</v>
      </c>
      <c r="N241" s="32">
        <f>Q220-M241</f>
        <v>0</v>
      </c>
      <c r="O241" s="32"/>
      <c r="P241" s="32"/>
      <c r="Q241" s="33"/>
    </row>
    <row r="242" spans="1:17" hidden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1">
        <f t="shared" si="14"/>
        <v>240</v>
      </c>
      <c r="N242" s="32">
        <f>Q220-M242</f>
        <v>0</v>
      </c>
      <c r="O242" s="32"/>
      <c r="P242" s="32"/>
      <c r="Q242" s="33"/>
    </row>
    <row r="243" spans="1:17" hidden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1">
        <f t="shared" si="14"/>
        <v>240</v>
      </c>
      <c r="N243" s="32">
        <f>Q220-M243</f>
        <v>0</v>
      </c>
      <c r="O243" s="32"/>
      <c r="P243" s="32"/>
      <c r="Q243" s="33"/>
    </row>
    <row r="244" spans="1:17" hidden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1">
        <f t="shared" si="14"/>
        <v>240</v>
      </c>
      <c r="N244" s="32">
        <f>Q220-M244</f>
        <v>0</v>
      </c>
      <c r="O244" s="32"/>
      <c r="P244" s="32"/>
      <c r="Q244" s="33"/>
    </row>
    <row r="245" spans="1:17" hidden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1">
        <f t="shared" si="14"/>
        <v>240</v>
      </c>
      <c r="N245" s="32">
        <f>Q220-M245</f>
        <v>0</v>
      </c>
      <c r="O245" s="32"/>
      <c r="P245" s="32"/>
      <c r="Q245" s="33"/>
    </row>
    <row r="246" spans="1:17" ht="15" hidden="1" thickBo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6">
        <f t="shared" si="14"/>
        <v>240</v>
      </c>
      <c r="N246" s="37">
        <f>Q220-M246</f>
        <v>0</v>
      </c>
      <c r="O246" s="37"/>
      <c r="P246" s="37"/>
      <c r="Q246" s="38"/>
    </row>
  </sheetData>
  <mergeCells count="14">
    <mergeCell ref="B10:J10"/>
    <mergeCell ref="B37:I37"/>
    <mergeCell ref="B6:D6"/>
    <mergeCell ref="G6:I6"/>
    <mergeCell ref="B7:D7"/>
    <mergeCell ref="G7:I7"/>
    <mergeCell ref="B8:D8"/>
    <mergeCell ref="G8:I8"/>
    <mergeCell ref="B3:E3"/>
    <mergeCell ref="G3:J3"/>
    <mergeCell ref="B4:D4"/>
    <mergeCell ref="G4:I4"/>
    <mergeCell ref="B5:D5"/>
    <mergeCell ref="G5:I5"/>
  </mergeCells>
  <printOptions horizontalCentered="1"/>
  <pageMargins left="0.65000000000000013" right="0.65000000000000013" top="0.65" bottom="0.65" header="0.5" footer="0.5"/>
  <pageSetup paperSize="0" scale="85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C14" sqref="C14"/>
    </sheetView>
  </sheetViews>
  <sheetFormatPr defaultRowHeight="14.4" x14ac:dyDescent="0.3"/>
  <cols>
    <col min="1" max="3" width="9.109375" customWidth="1"/>
    <col min="4" max="4" width="10.88671875" customWidth="1"/>
    <col min="5" max="5" width="25.6640625" customWidth="1"/>
    <col min="6" max="6" width="9.109375" customWidth="1"/>
    <col min="7" max="7" width="12.44140625" customWidth="1"/>
    <col min="8" max="8" width="9.109375" customWidth="1"/>
  </cols>
  <sheetData>
    <row r="2" spans="2:7" ht="18" x14ac:dyDescent="0.35">
      <c r="B2" s="45" t="s">
        <v>46</v>
      </c>
    </row>
    <row r="4" spans="2:7" ht="15.6" x14ac:dyDescent="0.3">
      <c r="B4" s="46" t="s">
        <v>47</v>
      </c>
      <c r="E4" s="47" t="s">
        <v>25</v>
      </c>
      <c r="F4" s="48" t="s">
        <v>48</v>
      </c>
      <c r="G4" s="48" t="s">
        <v>49</v>
      </c>
    </row>
    <row r="5" spans="2:7" ht="21" customHeight="1" x14ac:dyDescent="0.3">
      <c r="E5" s="42"/>
      <c r="F5">
        <v>12</v>
      </c>
      <c r="G5" s="42">
        <f t="shared" ref="G5:G11" si="0">E5*F5</f>
        <v>0</v>
      </c>
    </row>
    <row r="6" spans="2:7" x14ac:dyDescent="0.3">
      <c r="E6" s="42"/>
      <c r="F6">
        <v>12</v>
      </c>
      <c r="G6" s="42">
        <f t="shared" si="0"/>
        <v>0</v>
      </c>
    </row>
    <row r="7" spans="2:7" x14ac:dyDescent="0.3">
      <c r="E7" s="42"/>
      <c r="F7">
        <v>12</v>
      </c>
      <c r="G7" s="42">
        <f t="shared" si="0"/>
        <v>0</v>
      </c>
    </row>
    <row r="8" spans="2:7" x14ac:dyDescent="0.3">
      <c r="E8" s="42"/>
      <c r="F8">
        <v>12</v>
      </c>
      <c r="G8" s="42">
        <f t="shared" si="0"/>
        <v>0</v>
      </c>
    </row>
    <row r="9" spans="2:7" x14ac:dyDescent="0.3">
      <c r="E9" s="42"/>
      <c r="F9">
        <v>12</v>
      </c>
      <c r="G9" s="42">
        <f t="shared" si="0"/>
        <v>0</v>
      </c>
    </row>
    <row r="10" spans="2:7" x14ac:dyDescent="0.3">
      <c r="E10" s="42"/>
      <c r="G10" s="42">
        <f t="shared" si="0"/>
        <v>0</v>
      </c>
    </row>
    <row r="11" spans="2:7" x14ac:dyDescent="0.3">
      <c r="E11" s="42"/>
      <c r="G11" s="42">
        <f t="shared" si="0"/>
        <v>0</v>
      </c>
    </row>
    <row r="12" spans="2:7" x14ac:dyDescent="0.3">
      <c r="E12" s="43"/>
    </row>
    <row r="13" spans="2:7" ht="24" customHeight="1" x14ac:dyDescent="0.3">
      <c r="B13" s="39" t="s">
        <v>49</v>
      </c>
      <c r="E13" s="42">
        <f>SUM(E5:E12)</f>
        <v>0</v>
      </c>
      <c r="G13" s="42">
        <f>SUM(G5:G12)</f>
        <v>0</v>
      </c>
    </row>
    <row r="14" spans="2:7" ht="23.25" customHeight="1" x14ac:dyDescent="0.3">
      <c r="E14" s="42"/>
    </row>
    <row r="15" spans="2:7" x14ac:dyDescent="0.3">
      <c r="B15" s="39"/>
      <c r="E15" s="42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12" workbookViewId="0">
      <selection activeCell="C2" sqref="C2:N2"/>
    </sheetView>
  </sheetViews>
  <sheetFormatPr defaultRowHeight="14.4" x14ac:dyDescent="0.3"/>
  <cols>
    <col min="1" max="1" width="9.109375" customWidth="1"/>
    <col min="2" max="2" width="12.33203125" customWidth="1"/>
    <col min="3" max="15" width="11.6640625" customWidth="1"/>
    <col min="16" max="16" width="9.109375" customWidth="1"/>
  </cols>
  <sheetData>
    <row r="1" spans="1:28" x14ac:dyDescent="0.3">
      <c r="A1" s="39" t="s">
        <v>50</v>
      </c>
    </row>
    <row r="2" spans="1:28" x14ac:dyDescent="0.3">
      <c r="A2" s="49" t="s">
        <v>16</v>
      </c>
      <c r="O2" s="50" t="s">
        <v>49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customHeight="1" x14ac:dyDescent="0.3">
      <c r="A3" s="52" t="s">
        <v>51</v>
      </c>
      <c r="B3" s="44"/>
      <c r="C3" s="53">
        <v>0</v>
      </c>
      <c r="D3" s="53">
        <f t="shared" ref="D3:N3" si="0">C36</f>
        <v>0</v>
      </c>
      <c r="E3" s="53">
        <f t="shared" si="0"/>
        <v>0</v>
      </c>
      <c r="F3" s="53">
        <f t="shared" si="0"/>
        <v>0</v>
      </c>
      <c r="G3" s="53">
        <f t="shared" si="0"/>
        <v>0</v>
      </c>
      <c r="H3" s="53">
        <f t="shared" si="0"/>
        <v>0</v>
      </c>
      <c r="I3" s="53">
        <f t="shared" si="0"/>
        <v>0</v>
      </c>
      <c r="J3" s="53">
        <f t="shared" si="0"/>
        <v>0</v>
      </c>
      <c r="K3" s="53">
        <f t="shared" si="0"/>
        <v>0</v>
      </c>
      <c r="L3" s="53">
        <f t="shared" si="0"/>
        <v>0</v>
      </c>
      <c r="M3" s="53">
        <f t="shared" si="0"/>
        <v>0</v>
      </c>
      <c r="N3" s="53">
        <f t="shared" si="0"/>
        <v>0</v>
      </c>
      <c r="O3" s="5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7.25" customHeight="1" x14ac:dyDescent="0.3">
      <c r="A4" s="39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x14ac:dyDescent="0.3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4">
        <f t="shared" ref="O5:O11" si="1">SUM(C5:N5)</f>
        <v>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x14ac:dyDescent="0.3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4">
        <f t="shared" si="1"/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x14ac:dyDescent="0.3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4">
        <f t="shared" si="1"/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x14ac:dyDescent="0.3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4">
        <f t="shared" si="1"/>
        <v>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3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>
        <f t="shared" si="1"/>
        <v>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idden="1" x14ac:dyDescent="0.3">
      <c r="A10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>
        <f t="shared" si="1"/>
        <v>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idden="1" x14ac:dyDescent="0.3">
      <c r="A11" t="s">
        <v>54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>
        <f t="shared" si="1"/>
        <v>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21" customHeight="1" x14ac:dyDescent="0.3">
      <c r="A12" s="58" t="s">
        <v>55</v>
      </c>
      <c r="B12" s="59"/>
      <c r="C12" s="60">
        <f t="shared" ref="C12:O12" si="2">SUM(C5:C11)</f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3">
      <c r="A13" s="61" t="s">
        <v>56</v>
      </c>
      <c r="C13" s="55">
        <f t="shared" ref="C13:N13" si="3">C3+C12</f>
        <v>0</v>
      </c>
      <c r="D13" s="55">
        <f t="shared" si="3"/>
        <v>0</v>
      </c>
      <c r="E13" s="55">
        <f t="shared" si="3"/>
        <v>0</v>
      </c>
      <c r="F13" s="55">
        <f t="shared" si="3"/>
        <v>0</v>
      </c>
      <c r="G13" s="55">
        <f t="shared" si="3"/>
        <v>0</v>
      </c>
      <c r="H13" s="55">
        <f t="shared" si="3"/>
        <v>0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25.5" customHeight="1" x14ac:dyDescent="0.3">
      <c r="A14" s="39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25.5" customHeight="1" x14ac:dyDescent="0.3">
      <c r="A15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f t="shared" ref="O15:O33" si="4">SUM(C15:N15)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" customHeight="1" x14ac:dyDescent="0.3">
      <c r="A16" t="s">
        <v>59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f t="shared" si="4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" customHeight="1" x14ac:dyDescent="0.3">
      <c r="A17" t="s">
        <v>60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>
        <f t="shared" si="4"/>
        <v>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 x14ac:dyDescent="0.3">
      <c r="A18" t="s">
        <v>61</v>
      </c>
      <c r="C18" s="62">
        <f t="shared" ref="C18:N18" si="5">(C16+C17)*0.1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54">
        <f t="shared" si="4"/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3">
      <c r="A19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4">
        <f t="shared" si="4"/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x14ac:dyDescent="0.3">
      <c r="A20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>
        <f t="shared" si="4"/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x14ac:dyDescent="0.3">
      <c r="A21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4">
        <f t="shared" si="4"/>
        <v>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x14ac:dyDescent="0.3">
      <c r="A22" t="s">
        <v>65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>
        <f t="shared" si="4"/>
        <v>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x14ac:dyDescent="0.3">
      <c r="A23" t="s">
        <v>66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>
        <f t="shared" si="4"/>
        <v>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x14ac:dyDescent="0.3">
      <c r="A24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>
        <f t="shared" si="4"/>
        <v>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x14ac:dyDescent="0.3">
      <c r="A25" t="s">
        <v>68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>
        <f t="shared" si="4"/>
        <v>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x14ac:dyDescent="0.3">
      <c r="A26" t="s">
        <v>69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4">
        <f t="shared" si="4"/>
        <v>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x14ac:dyDescent="0.3">
      <c r="A27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>
        <f t="shared" si="4"/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x14ac:dyDescent="0.3">
      <c r="A28" t="s">
        <v>71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>
        <f t="shared" si="4"/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x14ac:dyDescent="0.3">
      <c r="A29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>
        <f t="shared" si="4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x14ac:dyDescent="0.3">
      <c r="A30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4">
        <f t="shared" si="4"/>
        <v>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x14ac:dyDescent="0.3">
      <c r="A31" t="s">
        <v>74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4">
        <f t="shared" si="4"/>
        <v>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x14ac:dyDescent="0.3">
      <c r="A32" t="s">
        <v>75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4">
        <f t="shared" si="4"/>
        <v>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x14ac:dyDescent="0.3">
      <c r="A33" t="s">
        <v>75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4">
        <f t="shared" si="4"/>
        <v>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x14ac:dyDescent="0.3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5" spans="1:28" x14ac:dyDescent="0.3">
      <c r="A35" s="39" t="s">
        <v>76</v>
      </c>
      <c r="C35" s="55">
        <f t="shared" ref="C35:O35" si="6">SUM(C15:C34)</f>
        <v>0</v>
      </c>
      <c r="D35" s="55">
        <f t="shared" si="6"/>
        <v>0</v>
      </c>
      <c r="E35" s="55">
        <f t="shared" si="6"/>
        <v>0</v>
      </c>
      <c r="F35" s="55">
        <f t="shared" si="6"/>
        <v>0</v>
      </c>
      <c r="G35" s="55">
        <f t="shared" si="6"/>
        <v>0</v>
      </c>
      <c r="H35" s="55">
        <f t="shared" si="6"/>
        <v>0</v>
      </c>
      <c r="I35" s="55">
        <f t="shared" si="6"/>
        <v>0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0</v>
      </c>
      <c r="N35" s="55">
        <f t="shared" si="6"/>
        <v>0</v>
      </c>
      <c r="O35" s="54">
        <f t="shared" si="6"/>
        <v>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x14ac:dyDescent="0.3">
      <c r="A36" s="52" t="s">
        <v>77</v>
      </c>
      <c r="B36" s="44"/>
      <c r="C36" s="53">
        <f t="shared" ref="C36:N36" si="7">C13-C35</f>
        <v>0</v>
      </c>
      <c r="D36" s="53">
        <f t="shared" si="7"/>
        <v>0</v>
      </c>
      <c r="E36" s="53">
        <f t="shared" si="7"/>
        <v>0</v>
      </c>
      <c r="F36" s="53">
        <f t="shared" si="7"/>
        <v>0</v>
      </c>
      <c r="G36" s="53">
        <f t="shared" si="7"/>
        <v>0</v>
      </c>
      <c r="H36" s="53">
        <f t="shared" si="7"/>
        <v>0</v>
      </c>
      <c r="I36" s="53">
        <f t="shared" si="7"/>
        <v>0</v>
      </c>
      <c r="J36" s="53">
        <f t="shared" si="7"/>
        <v>0</v>
      </c>
      <c r="K36" s="53">
        <f t="shared" si="7"/>
        <v>0</v>
      </c>
      <c r="L36" s="53">
        <f t="shared" si="7"/>
        <v>0</v>
      </c>
      <c r="M36" s="53">
        <f t="shared" si="7"/>
        <v>0</v>
      </c>
      <c r="N36" s="53">
        <f t="shared" si="7"/>
        <v>0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8" spans="1:28" ht="18" customHeight="1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28" x14ac:dyDescent="0.3">
      <c r="A39" s="63"/>
    </row>
    <row r="40" spans="1:28" x14ac:dyDescent="0.3">
      <c r="A40" s="63"/>
    </row>
    <row r="41" spans="1:28" x14ac:dyDescent="0.3">
      <c r="A41" s="6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3" spans="1:28" x14ac:dyDescent="0.3">
      <c r="A43" s="63"/>
    </row>
  </sheetData>
  <pageMargins left="0.25" right="0.25" top="0.75" bottom="0.75" header="0.30000000000000004" footer="0.30000000000000004"/>
  <pageSetup paperSize="0" scale="77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activeCell="E5" sqref="E5"/>
    </sheetView>
  </sheetViews>
  <sheetFormatPr defaultRowHeight="14.4" x14ac:dyDescent="0.3"/>
  <cols>
    <col min="1" max="1" width="9.109375" customWidth="1"/>
    <col min="2" max="2" width="12.33203125" customWidth="1"/>
    <col min="3" max="17" width="11.6640625" customWidth="1"/>
    <col min="18" max="18" width="9.109375" customWidth="1"/>
  </cols>
  <sheetData>
    <row r="1" spans="1:30" x14ac:dyDescent="0.3">
      <c r="A1" s="39" t="s">
        <v>78</v>
      </c>
    </row>
    <row r="2" spans="1:30" x14ac:dyDescent="0.3">
      <c r="A2" s="49" t="s">
        <v>79</v>
      </c>
      <c r="C2" s="40">
        <v>40579</v>
      </c>
      <c r="D2" s="40">
        <v>40586</v>
      </c>
      <c r="E2" s="40">
        <v>40593</v>
      </c>
      <c r="F2" s="40">
        <v>40600</v>
      </c>
      <c r="G2" s="40">
        <v>40607</v>
      </c>
      <c r="H2" s="40">
        <v>40614</v>
      </c>
      <c r="I2" s="40">
        <v>40621</v>
      </c>
      <c r="J2" s="40">
        <v>40628</v>
      </c>
      <c r="K2" s="40">
        <v>40635</v>
      </c>
      <c r="L2" s="40">
        <v>40642</v>
      </c>
      <c r="M2" s="40">
        <v>40649</v>
      </c>
      <c r="N2" s="40">
        <v>40656</v>
      </c>
      <c r="O2" s="40">
        <v>40663</v>
      </c>
      <c r="P2" s="40">
        <v>40670</v>
      </c>
      <c r="Q2" s="50" t="s">
        <v>49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23.25" customHeight="1" x14ac:dyDescent="0.3">
      <c r="A3" s="52" t="s">
        <v>51</v>
      </c>
      <c r="B3" s="44"/>
      <c r="C3" s="53">
        <v>0</v>
      </c>
      <c r="D3" s="53">
        <f t="shared" ref="D3:M3" si="0">C36</f>
        <v>0</v>
      </c>
      <c r="E3" s="53">
        <f t="shared" si="0"/>
        <v>0</v>
      </c>
      <c r="F3" s="53">
        <f t="shared" si="0"/>
        <v>0</v>
      </c>
      <c r="G3" s="53">
        <f t="shared" si="0"/>
        <v>0</v>
      </c>
      <c r="H3" s="53">
        <f t="shared" si="0"/>
        <v>0</v>
      </c>
      <c r="I3" s="53">
        <f t="shared" si="0"/>
        <v>0</v>
      </c>
      <c r="J3" s="53">
        <f t="shared" si="0"/>
        <v>0</v>
      </c>
      <c r="K3" s="53">
        <f t="shared" si="0"/>
        <v>0</v>
      </c>
      <c r="L3" s="53">
        <f t="shared" si="0"/>
        <v>0</v>
      </c>
      <c r="M3" s="53">
        <f t="shared" si="0"/>
        <v>0</v>
      </c>
      <c r="N3" s="53"/>
      <c r="O3" s="53"/>
      <c r="P3" s="53">
        <f>M36</f>
        <v>0</v>
      </c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7.25" customHeight="1" x14ac:dyDescent="0.3">
      <c r="A4" s="39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x14ac:dyDescent="0.3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4">
        <f t="shared" ref="Q5:Q11" si="1">SUM(C5:P5)</f>
        <v>0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x14ac:dyDescent="0.3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4">
        <f t="shared" si="1"/>
        <v>0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x14ac:dyDescent="0.3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4">
        <f t="shared" si="1"/>
        <v>0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x14ac:dyDescent="0.3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4">
        <f t="shared" si="1"/>
        <v>0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x14ac:dyDescent="0.3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>
        <f t="shared" si="1"/>
        <v>0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idden="1" x14ac:dyDescent="0.3">
      <c r="A10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4">
        <f t="shared" si="1"/>
        <v>0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idden="1" x14ac:dyDescent="0.3">
      <c r="A11" t="s">
        <v>54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4">
        <f t="shared" si="1"/>
        <v>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21" customHeight="1" x14ac:dyDescent="0.3">
      <c r="A12" s="58" t="s">
        <v>55</v>
      </c>
      <c r="B12" s="59"/>
      <c r="C12" s="60">
        <f t="shared" ref="C12:Q12" si="2">SUM(C5:C11)</f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>SUM(N5:N11)</f>
        <v>0</v>
      </c>
      <c r="O12" s="60">
        <f>SUM(O5:O11)</f>
        <v>0</v>
      </c>
      <c r="P12" s="60">
        <f t="shared" si="2"/>
        <v>0</v>
      </c>
      <c r="Q12" s="60">
        <f t="shared" si="2"/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x14ac:dyDescent="0.3">
      <c r="A13" s="61" t="s">
        <v>56</v>
      </c>
      <c r="C13" s="55">
        <f t="shared" ref="C13:P13" si="3">C3+C12</f>
        <v>0</v>
      </c>
      <c r="D13" s="55">
        <f t="shared" si="3"/>
        <v>0</v>
      </c>
      <c r="E13" s="55">
        <f t="shared" si="3"/>
        <v>0</v>
      </c>
      <c r="F13" s="55">
        <f t="shared" si="3"/>
        <v>0</v>
      </c>
      <c r="G13" s="55">
        <f t="shared" si="3"/>
        <v>0</v>
      </c>
      <c r="H13" s="55">
        <f t="shared" si="3"/>
        <v>0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>N3+N12</f>
        <v>0</v>
      </c>
      <c r="O13" s="55">
        <f>O3+O12</f>
        <v>0</v>
      </c>
      <c r="P13" s="55">
        <f t="shared" si="3"/>
        <v>0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25.5" customHeight="1" x14ac:dyDescent="0.3">
      <c r="A14" s="39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25.5" customHeight="1" x14ac:dyDescent="0.3">
      <c r="A15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4">
        <f t="shared" ref="Q15:Q33" si="4">SUM(C15:P15)</f>
        <v>0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5" customHeight="1" x14ac:dyDescent="0.3">
      <c r="A16" t="s">
        <v>59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4">
        <f t="shared" si="4"/>
        <v>0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15" customHeight="1" x14ac:dyDescent="0.3">
      <c r="A17" t="s">
        <v>60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4">
        <f t="shared" si="4"/>
        <v>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15" customHeight="1" x14ac:dyDescent="0.3">
      <c r="A18" t="s">
        <v>61</v>
      </c>
      <c r="C18" s="62">
        <f t="shared" ref="C18:P18" si="5">(C16+C17)*0.1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54">
        <f t="shared" si="4"/>
        <v>0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x14ac:dyDescent="0.3">
      <c r="A19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4">
        <f t="shared" si="4"/>
        <v>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x14ac:dyDescent="0.3">
      <c r="A20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4">
        <f t="shared" si="4"/>
        <v>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x14ac:dyDescent="0.3">
      <c r="A21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4">
        <f t="shared" si="4"/>
        <v>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x14ac:dyDescent="0.3">
      <c r="A22" t="s">
        <v>65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4">
        <f t="shared" si="4"/>
        <v>0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x14ac:dyDescent="0.3">
      <c r="A23" t="s">
        <v>66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4">
        <f t="shared" si="4"/>
        <v>0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x14ac:dyDescent="0.3">
      <c r="A24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4">
        <f t="shared" si="4"/>
        <v>0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x14ac:dyDescent="0.3">
      <c r="A25" t="s">
        <v>68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4">
        <f t="shared" si="4"/>
        <v>0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x14ac:dyDescent="0.3">
      <c r="A26" t="s">
        <v>69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4">
        <f t="shared" si="4"/>
        <v>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x14ac:dyDescent="0.3">
      <c r="A27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4">
        <f t="shared" si="4"/>
        <v>0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x14ac:dyDescent="0.3">
      <c r="A28" t="s">
        <v>71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4">
        <f t="shared" si="4"/>
        <v>0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x14ac:dyDescent="0.3">
      <c r="A29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4">
        <f t="shared" si="4"/>
        <v>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x14ac:dyDescent="0.3">
      <c r="A30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4">
        <f t="shared" si="4"/>
        <v>0</v>
      </c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 x14ac:dyDescent="0.3">
      <c r="A31" t="s">
        <v>74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4">
        <f t="shared" si="4"/>
        <v>0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x14ac:dyDescent="0.3">
      <c r="A32" t="s">
        <v>75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4">
        <f t="shared" si="4"/>
        <v>0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x14ac:dyDescent="0.3">
      <c r="A33" t="s">
        <v>75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4">
        <f t="shared" si="4"/>
        <v>0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x14ac:dyDescent="0.3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x14ac:dyDescent="0.3">
      <c r="A35" s="39" t="s">
        <v>76</v>
      </c>
      <c r="C35" s="55">
        <f t="shared" ref="C35:Q35" si="6">SUM(C15:C34)</f>
        <v>0</v>
      </c>
      <c r="D35" s="55">
        <f t="shared" si="6"/>
        <v>0</v>
      </c>
      <c r="E35" s="55">
        <f t="shared" si="6"/>
        <v>0</v>
      </c>
      <c r="F35" s="55">
        <f t="shared" si="6"/>
        <v>0</v>
      </c>
      <c r="G35" s="55">
        <f t="shared" si="6"/>
        <v>0</v>
      </c>
      <c r="H35" s="55">
        <f t="shared" si="6"/>
        <v>0</v>
      </c>
      <c r="I35" s="55">
        <f t="shared" si="6"/>
        <v>0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0</v>
      </c>
      <c r="N35" s="55">
        <f>SUM(N15:N34)</f>
        <v>0</v>
      </c>
      <c r="O35" s="55">
        <f>SUM(O15:O34)</f>
        <v>0</v>
      </c>
      <c r="P35" s="55">
        <f t="shared" si="6"/>
        <v>0</v>
      </c>
      <c r="Q35" s="54">
        <f t="shared" si="6"/>
        <v>0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x14ac:dyDescent="0.3">
      <c r="A36" s="52" t="s">
        <v>77</v>
      </c>
      <c r="B36" s="44"/>
      <c r="C36" s="53">
        <f t="shared" ref="C36:P36" si="7">C13-C35</f>
        <v>0</v>
      </c>
      <c r="D36" s="53">
        <f t="shared" si="7"/>
        <v>0</v>
      </c>
      <c r="E36" s="53">
        <f t="shared" si="7"/>
        <v>0</v>
      </c>
      <c r="F36" s="53">
        <f t="shared" si="7"/>
        <v>0</v>
      </c>
      <c r="G36" s="53">
        <f t="shared" si="7"/>
        <v>0</v>
      </c>
      <c r="H36" s="53">
        <f t="shared" si="7"/>
        <v>0</v>
      </c>
      <c r="I36" s="53">
        <f t="shared" si="7"/>
        <v>0</v>
      </c>
      <c r="J36" s="53">
        <f t="shared" si="7"/>
        <v>0</v>
      </c>
      <c r="K36" s="53">
        <f t="shared" si="7"/>
        <v>0</v>
      </c>
      <c r="L36" s="53">
        <f t="shared" si="7"/>
        <v>0</v>
      </c>
      <c r="M36" s="53">
        <f t="shared" si="7"/>
        <v>0</v>
      </c>
      <c r="N36" s="53">
        <f>N13-N35</f>
        <v>0</v>
      </c>
      <c r="O36" s="53">
        <f>O13-O35</f>
        <v>0</v>
      </c>
      <c r="P36" s="53">
        <f t="shared" si="7"/>
        <v>0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8" spans="1:30" ht="18" customHeight="1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30" x14ac:dyDescent="0.3">
      <c r="A39" s="63"/>
    </row>
    <row r="40" spans="1:30" x14ac:dyDescent="0.3">
      <c r="A40" s="63"/>
    </row>
    <row r="41" spans="1:30" x14ac:dyDescent="0.3">
      <c r="A41" s="6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3" spans="1:30" x14ac:dyDescent="0.3">
      <c r="A43" s="63"/>
    </row>
  </sheetData>
  <pageMargins left="0.25" right="0.25" top="0.75" bottom="0.75" header="0.30000000000000004" footer="0.30000000000000004"/>
  <pageSetup paperSize="0" scale="77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3"/>
  <sheetViews>
    <sheetView tabSelected="1" workbookViewId="0">
      <selection activeCell="A2" sqref="A2"/>
    </sheetView>
  </sheetViews>
  <sheetFormatPr defaultRowHeight="14.4" x14ac:dyDescent="0.3"/>
  <cols>
    <col min="1" max="1" width="9.109375" customWidth="1"/>
    <col min="2" max="2" width="13.5546875" customWidth="1"/>
    <col min="3" max="15" width="11.6640625" customWidth="1"/>
    <col min="16" max="16" width="9.109375" customWidth="1"/>
  </cols>
  <sheetData>
    <row r="1" spans="1:28" x14ac:dyDescent="0.3">
      <c r="A1" s="39" t="s">
        <v>80</v>
      </c>
    </row>
    <row r="2" spans="1:28" x14ac:dyDescent="0.3">
      <c r="A2" s="49" t="s">
        <v>16</v>
      </c>
      <c r="C2" s="68" t="s">
        <v>35</v>
      </c>
      <c r="D2" s="68" t="s">
        <v>36</v>
      </c>
      <c r="E2" s="68" t="s">
        <v>37</v>
      </c>
      <c r="F2" s="68" t="s">
        <v>38</v>
      </c>
      <c r="G2" s="68" t="s">
        <v>39</v>
      </c>
      <c r="H2" s="68" t="s">
        <v>40</v>
      </c>
      <c r="I2" s="68" t="s">
        <v>29</v>
      </c>
      <c r="J2" s="68" t="s">
        <v>30</v>
      </c>
      <c r="K2" s="68" t="s">
        <v>31</v>
      </c>
      <c r="L2" s="68" t="s">
        <v>32</v>
      </c>
      <c r="M2" s="68" t="s">
        <v>33</v>
      </c>
      <c r="N2" s="68" t="s">
        <v>34</v>
      </c>
      <c r="O2" s="69" t="s">
        <v>49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customHeight="1" x14ac:dyDescent="0.3">
      <c r="A3" s="52" t="s">
        <v>51</v>
      </c>
      <c r="B3" s="44"/>
      <c r="C3" s="54">
        <v>5000</v>
      </c>
      <c r="D3" s="53">
        <f t="shared" ref="D3:N3" si="0">C34</f>
        <v>5000</v>
      </c>
      <c r="E3" s="53">
        <f t="shared" si="0"/>
        <v>5000</v>
      </c>
      <c r="F3" s="53">
        <f t="shared" si="0"/>
        <v>5000</v>
      </c>
      <c r="G3" s="53">
        <f t="shared" si="0"/>
        <v>5000</v>
      </c>
      <c r="H3" s="53">
        <f t="shared" si="0"/>
        <v>5000</v>
      </c>
      <c r="I3" s="53">
        <f t="shared" si="0"/>
        <v>5000</v>
      </c>
      <c r="J3" s="53">
        <f t="shared" si="0"/>
        <v>5000</v>
      </c>
      <c r="K3" s="53">
        <f t="shared" si="0"/>
        <v>5000</v>
      </c>
      <c r="L3" s="53">
        <f t="shared" si="0"/>
        <v>5000</v>
      </c>
      <c r="M3" s="53">
        <f t="shared" si="0"/>
        <v>5000</v>
      </c>
      <c r="N3" s="53">
        <f t="shared" si="0"/>
        <v>5000</v>
      </c>
      <c r="O3" s="5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7.25" customHeight="1" x14ac:dyDescent="0.3">
      <c r="A4" s="39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x14ac:dyDescent="0.3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4">
        <f t="shared" ref="O5:O11" si="1">SUM(C5:N5)</f>
        <v>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x14ac:dyDescent="0.3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4">
        <f t="shared" si="1"/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x14ac:dyDescent="0.3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4">
        <f t="shared" si="1"/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x14ac:dyDescent="0.3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3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idden="1" x14ac:dyDescent="0.3">
      <c r="A10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>
        <f t="shared" si="1"/>
        <v>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idden="1" x14ac:dyDescent="0.3">
      <c r="A11" t="s">
        <v>54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>
        <f t="shared" si="1"/>
        <v>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21" customHeight="1" x14ac:dyDescent="0.3">
      <c r="A12" s="58" t="s">
        <v>55</v>
      </c>
      <c r="B12" s="59"/>
      <c r="C12" s="60">
        <f t="shared" ref="C12:O12" si="2">SUM(C5:C11)</f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3">
      <c r="A13" s="61" t="s">
        <v>56</v>
      </c>
      <c r="C13" s="74">
        <f t="shared" ref="C13:N13" si="3">C3+C12</f>
        <v>5000</v>
      </c>
      <c r="D13" s="74">
        <f t="shared" si="3"/>
        <v>5000</v>
      </c>
      <c r="E13" s="74">
        <f t="shared" si="3"/>
        <v>5000</v>
      </c>
      <c r="F13" s="74">
        <f t="shared" si="3"/>
        <v>5000</v>
      </c>
      <c r="G13" s="74">
        <f t="shared" si="3"/>
        <v>5000</v>
      </c>
      <c r="H13" s="74">
        <f t="shared" si="3"/>
        <v>5000</v>
      </c>
      <c r="I13" s="74">
        <f t="shared" si="3"/>
        <v>5000</v>
      </c>
      <c r="J13" s="74">
        <f t="shared" si="3"/>
        <v>5000</v>
      </c>
      <c r="K13" s="74">
        <f t="shared" si="3"/>
        <v>5000</v>
      </c>
      <c r="L13" s="74">
        <f t="shared" si="3"/>
        <v>5000</v>
      </c>
      <c r="M13" s="74">
        <f t="shared" si="3"/>
        <v>5000</v>
      </c>
      <c r="N13" s="74">
        <f t="shared" si="3"/>
        <v>5000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25.5" customHeight="1" x14ac:dyDescent="0.3">
      <c r="A14" s="39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25.5" customHeight="1" x14ac:dyDescent="0.3">
      <c r="A15" t="s">
        <v>81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f t="shared" ref="O15:O31" si="4">SUM(C15:N15)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" customHeight="1" x14ac:dyDescent="0.3">
      <c r="A16" t="s">
        <v>69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f t="shared" si="4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" customHeight="1" x14ac:dyDescent="0.3">
      <c r="A17" t="s">
        <v>62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>
        <f t="shared" si="4"/>
        <v>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 x14ac:dyDescent="0.3">
      <c r="A18" t="s">
        <v>66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4">
        <f t="shared" si="4"/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5" customHeight="1" x14ac:dyDescent="0.3">
      <c r="A19" t="s">
        <v>60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4">
        <f t="shared" si="4"/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5" customHeight="1" x14ac:dyDescent="0.3">
      <c r="A20" t="s">
        <v>61</v>
      </c>
      <c r="C20" s="62">
        <f>C19*0.1</f>
        <v>0</v>
      </c>
      <c r="D20" s="62">
        <f t="shared" ref="D20:N20" si="5">D19*0.1</f>
        <v>0</v>
      </c>
      <c r="E20" s="62">
        <f t="shared" si="5"/>
        <v>0</v>
      </c>
      <c r="F20" s="62">
        <f t="shared" si="5"/>
        <v>0</v>
      </c>
      <c r="G20" s="62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54">
        <f t="shared" si="4"/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x14ac:dyDescent="0.3">
      <c r="A21" t="s">
        <v>82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4">
        <f t="shared" si="4"/>
        <v>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x14ac:dyDescent="0.3">
      <c r="A22" t="s">
        <v>71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>
        <f t="shared" si="4"/>
        <v>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x14ac:dyDescent="0.3">
      <c r="A23" t="s">
        <v>72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>
        <f t="shared" si="4"/>
        <v>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x14ac:dyDescent="0.3">
      <c r="A24" t="s">
        <v>73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>
        <f t="shared" si="4"/>
        <v>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x14ac:dyDescent="0.3">
      <c r="A25" t="s">
        <v>70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>
        <f t="shared" si="4"/>
        <v>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x14ac:dyDescent="0.3">
      <c r="A26" t="s">
        <v>74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4">
        <f t="shared" si="4"/>
        <v>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x14ac:dyDescent="0.3">
      <c r="A27" t="s">
        <v>83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>
        <f t="shared" si="4"/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x14ac:dyDescent="0.3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>
        <f t="shared" si="4"/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x14ac:dyDescent="0.3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>
        <f t="shared" si="4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x14ac:dyDescent="0.3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4">
        <f t="shared" si="4"/>
        <v>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x14ac:dyDescent="0.3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4">
        <f t="shared" si="4"/>
        <v>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x14ac:dyDescent="0.3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x14ac:dyDescent="0.3">
      <c r="A33" s="39" t="s">
        <v>76</v>
      </c>
      <c r="C33" s="75">
        <f t="shared" ref="C33:O33" si="6">SUM(C15:C32)</f>
        <v>0</v>
      </c>
      <c r="D33" s="75">
        <f t="shared" si="6"/>
        <v>0</v>
      </c>
      <c r="E33" s="75">
        <f t="shared" si="6"/>
        <v>0</v>
      </c>
      <c r="F33" s="75">
        <f t="shared" si="6"/>
        <v>0</v>
      </c>
      <c r="G33" s="75">
        <f t="shared" si="6"/>
        <v>0</v>
      </c>
      <c r="H33" s="75">
        <f t="shared" si="6"/>
        <v>0</v>
      </c>
      <c r="I33" s="75">
        <f t="shared" si="6"/>
        <v>0</v>
      </c>
      <c r="J33" s="75">
        <f t="shared" si="6"/>
        <v>0</v>
      </c>
      <c r="K33" s="75">
        <f t="shared" si="6"/>
        <v>0</v>
      </c>
      <c r="L33" s="75">
        <f t="shared" si="6"/>
        <v>0</v>
      </c>
      <c r="M33" s="75">
        <f t="shared" si="6"/>
        <v>0</v>
      </c>
      <c r="N33" s="75">
        <f t="shared" si="6"/>
        <v>0</v>
      </c>
      <c r="O33" s="54">
        <f t="shared" si="6"/>
        <v>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x14ac:dyDescent="0.3">
      <c r="A34" s="52" t="s">
        <v>77</v>
      </c>
      <c r="B34" s="44"/>
      <c r="C34" s="53">
        <f t="shared" ref="C34:N34" si="7">C13-C33</f>
        <v>5000</v>
      </c>
      <c r="D34" s="53">
        <f t="shared" si="7"/>
        <v>5000</v>
      </c>
      <c r="E34" s="53">
        <f t="shared" si="7"/>
        <v>5000</v>
      </c>
      <c r="F34" s="53">
        <f t="shared" si="7"/>
        <v>5000</v>
      </c>
      <c r="G34" s="53">
        <f t="shared" si="7"/>
        <v>5000</v>
      </c>
      <c r="H34" s="53">
        <f t="shared" si="7"/>
        <v>5000</v>
      </c>
      <c r="I34" s="53">
        <f t="shared" si="7"/>
        <v>5000</v>
      </c>
      <c r="J34" s="53">
        <f t="shared" si="7"/>
        <v>5000</v>
      </c>
      <c r="K34" s="53">
        <f t="shared" si="7"/>
        <v>5000</v>
      </c>
      <c r="L34" s="53">
        <f t="shared" si="7"/>
        <v>5000</v>
      </c>
      <c r="M34" s="53">
        <f t="shared" si="7"/>
        <v>5000</v>
      </c>
      <c r="N34" s="53">
        <f t="shared" si="7"/>
        <v>5000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6" spans="1:28" ht="18" customHeight="1" x14ac:dyDescent="0.3">
      <c r="A36" s="39" t="s">
        <v>84</v>
      </c>
      <c r="C36" s="68" t="s">
        <v>35</v>
      </c>
      <c r="D36" s="68" t="s">
        <v>36</v>
      </c>
      <c r="E36" s="68" t="s">
        <v>37</v>
      </c>
      <c r="F36" s="68" t="s">
        <v>38</v>
      </c>
      <c r="G36" s="68" t="s">
        <v>39</v>
      </c>
      <c r="H36" s="68" t="s">
        <v>40</v>
      </c>
      <c r="I36" s="68" t="s">
        <v>29</v>
      </c>
      <c r="J36" s="68" t="s">
        <v>30</v>
      </c>
      <c r="K36" s="68" t="s">
        <v>31</v>
      </c>
      <c r="L36" s="68" t="s">
        <v>32</v>
      </c>
      <c r="M36" s="68" t="s">
        <v>33</v>
      </c>
      <c r="N36" s="68" t="s">
        <v>34</v>
      </c>
    </row>
    <row r="37" spans="1:28" x14ac:dyDescent="0.3">
      <c r="A37" s="39"/>
      <c r="C37" s="66"/>
    </row>
    <row r="38" spans="1:28" x14ac:dyDescent="0.3">
      <c r="A38" s="63"/>
    </row>
    <row r="39" spans="1:28" x14ac:dyDescent="0.3">
      <c r="A39" s="63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28" x14ac:dyDescent="0.3">
      <c r="A40" s="63"/>
    </row>
    <row r="41" spans="1:28" x14ac:dyDescent="0.3">
      <c r="A41" s="6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28" x14ac:dyDescent="0.3">
      <c r="A42" s="63"/>
    </row>
    <row r="43" spans="1:28" x14ac:dyDescent="0.3">
      <c r="A43" s="6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28" x14ac:dyDescent="0.3">
      <c r="A44" s="63"/>
    </row>
    <row r="45" spans="1:28" x14ac:dyDescent="0.3">
      <c r="A45" s="6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28" x14ac:dyDescent="0.3">
      <c r="A46" s="63"/>
    </row>
    <row r="47" spans="1:28" x14ac:dyDescent="0.3">
      <c r="A47" s="6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28" x14ac:dyDescent="0.3">
      <c r="A48" s="63"/>
    </row>
    <row r="49" spans="1:14" x14ac:dyDescent="0.3">
      <c r="A49" s="6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23.25" customHeight="1" x14ac:dyDescent="0.3">
      <c r="A50" s="71"/>
    </row>
    <row r="51" spans="1:14" x14ac:dyDescent="0.3">
      <c r="A51" s="63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x14ac:dyDescent="0.3">
      <c r="A52" s="6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x14ac:dyDescent="0.3">
      <c r="A53" s="6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x14ac:dyDescent="0.3">
      <c r="A54" s="63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x14ac:dyDescent="0.3">
      <c r="A55" s="6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x14ac:dyDescent="0.3">
      <c r="A56" s="6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22.5" customHeight="1" x14ac:dyDescent="0.3">
      <c r="A57" s="71"/>
    </row>
    <row r="61" spans="1:14" x14ac:dyDescent="0.3">
      <c r="C61" s="72"/>
    </row>
    <row r="63" spans="1:14" x14ac:dyDescent="0.3">
      <c r="C63" s="73"/>
    </row>
  </sheetData>
  <sheetProtection selectLockedCells="1"/>
  <pageMargins left="0.25" right="0.25" top="0.75" bottom="0.75" header="0.30000000000000004" footer="0.30000000000000004"/>
  <pageSetup scale="77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>
      <selection activeCell="C6" sqref="C6"/>
    </sheetView>
  </sheetViews>
  <sheetFormatPr defaultRowHeight="14.4" x14ac:dyDescent="0.3"/>
  <cols>
    <col min="1" max="1" width="9.109375" customWidth="1"/>
    <col min="2" max="2" width="14.44140625" customWidth="1"/>
    <col min="3" max="15" width="11.6640625" customWidth="1"/>
    <col min="16" max="16" width="9.109375" customWidth="1"/>
  </cols>
  <sheetData>
    <row r="1" spans="1:28" x14ac:dyDescent="0.3">
      <c r="A1" s="39" t="s">
        <v>85</v>
      </c>
    </row>
    <row r="2" spans="1:28" x14ac:dyDescent="0.3">
      <c r="A2" s="49" t="s">
        <v>16</v>
      </c>
      <c r="C2" s="40" t="s">
        <v>29</v>
      </c>
      <c r="D2" s="40" t="s">
        <v>30</v>
      </c>
      <c r="E2" s="40" t="s">
        <v>31</v>
      </c>
      <c r="F2" s="40" t="s">
        <v>32</v>
      </c>
      <c r="G2" s="40" t="s">
        <v>33</v>
      </c>
      <c r="H2" s="40" t="s">
        <v>34</v>
      </c>
      <c r="I2" s="40" t="s">
        <v>35</v>
      </c>
      <c r="J2" s="40" t="s">
        <v>36</v>
      </c>
      <c r="K2" s="40" t="s">
        <v>37</v>
      </c>
      <c r="L2" s="40" t="s">
        <v>38</v>
      </c>
      <c r="M2" s="40" t="s">
        <v>39</v>
      </c>
      <c r="N2" s="40" t="s">
        <v>40</v>
      </c>
      <c r="O2" s="50" t="s">
        <v>49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customHeight="1" x14ac:dyDescent="0.3">
      <c r="A3" s="52" t="s">
        <v>51</v>
      </c>
      <c r="B3" s="44"/>
      <c r="C3" s="53">
        <f>'monthly_cf-_yr_1'!N34</f>
        <v>5000</v>
      </c>
      <c r="D3" s="53">
        <f t="shared" ref="D3:N3" si="0">C36</f>
        <v>5000</v>
      </c>
      <c r="E3" s="53">
        <f t="shared" si="0"/>
        <v>5000</v>
      </c>
      <c r="F3" s="53">
        <f t="shared" si="0"/>
        <v>5000</v>
      </c>
      <c r="G3" s="53">
        <f t="shared" si="0"/>
        <v>5000</v>
      </c>
      <c r="H3" s="53">
        <f t="shared" si="0"/>
        <v>5000</v>
      </c>
      <c r="I3" s="53">
        <f t="shared" si="0"/>
        <v>5000</v>
      </c>
      <c r="J3" s="53">
        <f t="shared" si="0"/>
        <v>5000</v>
      </c>
      <c r="K3" s="53">
        <f t="shared" si="0"/>
        <v>5000</v>
      </c>
      <c r="L3" s="53">
        <f t="shared" si="0"/>
        <v>5000</v>
      </c>
      <c r="M3" s="53">
        <f t="shared" si="0"/>
        <v>5000</v>
      </c>
      <c r="N3" s="53">
        <f t="shared" si="0"/>
        <v>5000</v>
      </c>
      <c r="O3" s="5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7.25" customHeight="1" x14ac:dyDescent="0.3">
      <c r="A4" s="39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x14ac:dyDescent="0.3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4">
        <f t="shared" ref="O5:O11" si="1">SUM(C5:N5)</f>
        <v>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x14ac:dyDescent="0.3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4">
        <f t="shared" si="1"/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x14ac:dyDescent="0.3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4">
        <f t="shared" si="1"/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x14ac:dyDescent="0.3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4">
        <f t="shared" si="1"/>
        <v>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3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>
        <f t="shared" si="1"/>
        <v>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idden="1" x14ac:dyDescent="0.3">
      <c r="A10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>
        <f t="shared" si="1"/>
        <v>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idden="1" x14ac:dyDescent="0.3">
      <c r="A11" t="s">
        <v>54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>
        <f t="shared" si="1"/>
        <v>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21" customHeight="1" x14ac:dyDescent="0.3">
      <c r="A12" s="58" t="s">
        <v>55</v>
      </c>
      <c r="B12" s="59"/>
      <c r="C12" s="60">
        <f t="shared" ref="C12:O12" si="2">SUM(C5:C11)</f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3">
      <c r="A13" s="61" t="s">
        <v>56</v>
      </c>
      <c r="C13" s="55">
        <f t="shared" ref="C13:N13" si="3">C3+C12</f>
        <v>5000</v>
      </c>
      <c r="D13" s="55">
        <f t="shared" si="3"/>
        <v>5000</v>
      </c>
      <c r="E13" s="55">
        <f t="shared" si="3"/>
        <v>5000</v>
      </c>
      <c r="F13" s="55">
        <f t="shared" si="3"/>
        <v>5000</v>
      </c>
      <c r="G13" s="55">
        <f t="shared" si="3"/>
        <v>5000</v>
      </c>
      <c r="H13" s="55">
        <f t="shared" si="3"/>
        <v>5000</v>
      </c>
      <c r="I13" s="55">
        <f t="shared" si="3"/>
        <v>5000</v>
      </c>
      <c r="J13" s="55">
        <f t="shared" si="3"/>
        <v>5000</v>
      </c>
      <c r="K13" s="55">
        <f t="shared" si="3"/>
        <v>5000</v>
      </c>
      <c r="L13" s="55">
        <f t="shared" si="3"/>
        <v>5000</v>
      </c>
      <c r="M13" s="55">
        <f t="shared" si="3"/>
        <v>5000</v>
      </c>
      <c r="N13" s="55">
        <f t="shared" si="3"/>
        <v>5000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25.5" customHeight="1" x14ac:dyDescent="0.3">
      <c r="A14" s="39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25.5" customHeight="1" x14ac:dyDescent="0.3">
      <c r="A15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f t="shared" ref="O15:O33" si="4">SUM(C15:N15)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" customHeight="1" x14ac:dyDescent="0.3">
      <c r="A16" t="s">
        <v>59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f t="shared" si="4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" customHeight="1" x14ac:dyDescent="0.3">
      <c r="A17" t="s">
        <v>60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>
        <f t="shared" si="4"/>
        <v>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 x14ac:dyDescent="0.3">
      <c r="A18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4">
        <f t="shared" si="4"/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3">
      <c r="A19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4">
        <f t="shared" si="4"/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x14ac:dyDescent="0.3">
      <c r="A20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>
        <f t="shared" si="4"/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x14ac:dyDescent="0.3">
      <c r="A21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4">
        <f t="shared" si="4"/>
        <v>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x14ac:dyDescent="0.3">
      <c r="A22" t="s">
        <v>65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>
        <f t="shared" si="4"/>
        <v>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x14ac:dyDescent="0.3">
      <c r="A23" t="s">
        <v>66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>
        <f t="shared" si="4"/>
        <v>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x14ac:dyDescent="0.3">
      <c r="A24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>
        <f t="shared" si="4"/>
        <v>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x14ac:dyDescent="0.3">
      <c r="A25" t="s">
        <v>68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>
        <f t="shared" si="4"/>
        <v>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x14ac:dyDescent="0.3">
      <c r="A26" t="s">
        <v>69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4">
        <f t="shared" si="4"/>
        <v>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x14ac:dyDescent="0.3">
      <c r="A27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>
        <f t="shared" si="4"/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x14ac:dyDescent="0.3">
      <c r="A28" t="s">
        <v>71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>
        <f t="shared" si="4"/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x14ac:dyDescent="0.3">
      <c r="A29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>
        <f t="shared" si="4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x14ac:dyDescent="0.3">
      <c r="A30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4">
        <f t="shared" si="4"/>
        <v>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x14ac:dyDescent="0.3">
      <c r="A31" t="s">
        <v>74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4">
        <f t="shared" si="4"/>
        <v>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x14ac:dyDescent="0.3">
      <c r="A32" t="s">
        <v>75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4">
        <f t="shared" si="4"/>
        <v>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x14ac:dyDescent="0.3">
      <c r="A33" t="s">
        <v>75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4">
        <f t="shared" si="4"/>
        <v>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x14ac:dyDescent="0.3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x14ac:dyDescent="0.3">
      <c r="A35" s="39" t="s">
        <v>76</v>
      </c>
      <c r="C35" s="55">
        <f t="shared" ref="C35:O35" si="5">SUM(C15:C34)</f>
        <v>0</v>
      </c>
      <c r="D35" s="55">
        <f t="shared" si="5"/>
        <v>0</v>
      </c>
      <c r="E35" s="55">
        <f t="shared" si="5"/>
        <v>0</v>
      </c>
      <c r="F35" s="55">
        <f t="shared" si="5"/>
        <v>0</v>
      </c>
      <c r="G35" s="55">
        <f t="shared" si="5"/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55">
        <f t="shared" si="5"/>
        <v>0</v>
      </c>
      <c r="M35" s="55">
        <f t="shared" si="5"/>
        <v>0</v>
      </c>
      <c r="N35" s="55">
        <f t="shared" si="5"/>
        <v>0</v>
      </c>
      <c r="O35" s="54">
        <f t="shared" si="5"/>
        <v>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x14ac:dyDescent="0.3">
      <c r="A36" s="52" t="s">
        <v>77</v>
      </c>
      <c r="B36" s="44"/>
      <c r="C36" s="53">
        <f t="shared" ref="C36:N36" si="6">C13-C35</f>
        <v>5000</v>
      </c>
      <c r="D36" s="53">
        <f t="shared" si="6"/>
        <v>5000</v>
      </c>
      <c r="E36" s="53">
        <f t="shared" si="6"/>
        <v>5000</v>
      </c>
      <c r="F36" s="53">
        <f t="shared" si="6"/>
        <v>5000</v>
      </c>
      <c r="G36" s="53">
        <f t="shared" si="6"/>
        <v>5000</v>
      </c>
      <c r="H36" s="53">
        <f t="shared" si="6"/>
        <v>5000</v>
      </c>
      <c r="I36" s="53">
        <f t="shared" si="6"/>
        <v>5000</v>
      </c>
      <c r="J36" s="53">
        <f t="shared" si="6"/>
        <v>5000</v>
      </c>
      <c r="K36" s="53">
        <f t="shared" si="6"/>
        <v>5000</v>
      </c>
      <c r="L36" s="53">
        <f t="shared" si="6"/>
        <v>5000</v>
      </c>
      <c r="M36" s="53">
        <f t="shared" si="6"/>
        <v>5000</v>
      </c>
      <c r="N36" s="53">
        <f t="shared" si="6"/>
        <v>5000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8" spans="1:28" ht="18" customHeight="1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28" x14ac:dyDescent="0.3">
      <c r="A39" s="63"/>
    </row>
    <row r="40" spans="1:28" x14ac:dyDescent="0.3">
      <c r="A40" s="63"/>
    </row>
    <row r="41" spans="1:28" x14ac:dyDescent="0.3">
      <c r="A41" s="6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pageMargins left="0.25" right="0.25" top="0.75" bottom="0.75" header="0.30000000000000004" footer="0.30000000000000004"/>
  <pageSetup paperSize="0" scale="75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1"/>
  <sheetViews>
    <sheetView topLeftCell="A6" workbookViewId="0">
      <selection activeCell="A2" sqref="A2"/>
    </sheetView>
  </sheetViews>
  <sheetFormatPr defaultRowHeight="14.4" x14ac:dyDescent="0.3"/>
  <cols>
    <col min="1" max="1" width="9.109375" customWidth="1"/>
    <col min="2" max="2" width="14.44140625" customWidth="1"/>
    <col min="3" max="15" width="11.6640625" customWidth="1"/>
    <col min="16" max="16" width="9.109375" customWidth="1"/>
  </cols>
  <sheetData>
    <row r="1" spans="1:28" x14ac:dyDescent="0.3">
      <c r="A1" s="39" t="s">
        <v>86</v>
      </c>
    </row>
    <row r="2" spans="1:28" x14ac:dyDescent="0.3">
      <c r="A2" s="49" t="s">
        <v>16</v>
      </c>
      <c r="C2" s="68" t="s">
        <v>35</v>
      </c>
      <c r="D2" s="68" t="s">
        <v>36</v>
      </c>
      <c r="E2" s="68" t="s">
        <v>37</v>
      </c>
      <c r="F2" s="68" t="s">
        <v>38</v>
      </c>
      <c r="G2" s="68" t="s">
        <v>39</v>
      </c>
      <c r="H2" s="68" t="s">
        <v>40</v>
      </c>
      <c r="I2" s="68" t="s">
        <v>29</v>
      </c>
      <c r="J2" s="68" t="s">
        <v>30</v>
      </c>
      <c r="K2" s="68" t="s">
        <v>31</v>
      </c>
      <c r="L2" s="68" t="s">
        <v>32</v>
      </c>
      <c r="M2" s="68" t="s">
        <v>33</v>
      </c>
      <c r="N2" s="68" t="s">
        <v>34</v>
      </c>
      <c r="O2" s="50" t="s">
        <v>49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customHeight="1" x14ac:dyDescent="0.3">
      <c r="A3" s="52" t="s">
        <v>51</v>
      </c>
      <c r="B3" s="44"/>
      <c r="C3" s="76">
        <f>'monthly_cf-_yr_1'!N34</f>
        <v>5000</v>
      </c>
      <c r="D3" s="53">
        <f t="shared" ref="D3:N3" si="0">C36</f>
        <v>5000</v>
      </c>
      <c r="E3" s="53">
        <f t="shared" si="0"/>
        <v>5000</v>
      </c>
      <c r="F3" s="53">
        <f t="shared" si="0"/>
        <v>5000</v>
      </c>
      <c r="G3" s="53">
        <f t="shared" si="0"/>
        <v>5000</v>
      </c>
      <c r="H3" s="53">
        <f t="shared" si="0"/>
        <v>5000</v>
      </c>
      <c r="I3" s="53">
        <f t="shared" si="0"/>
        <v>5000</v>
      </c>
      <c r="J3" s="53">
        <f t="shared" si="0"/>
        <v>5000</v>
      </c>
      <c r="K3" s="53">
        <f t="shared" si="0"/>
        <v>5000</v>
      </c>
      <c r="L3" s="53">
        <f t="shared" si="0"/>
        <v>5000</v>
      </c>
      <c r="M3" s="53">
        <f t="shared" si="0"/>
        <v>5000</v>
      </c>
      <c r="N3" s="53">
        <f t="shared" si="0"/>
        <v>5000</v>
      </c>
      <c r="O3" s="5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7.25" customHeight="1" x14ac:dyDescent="0.3">
      <c r="A4" s="39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x14ac:dyDescent="0.3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4">
        <f t="shared" ref="O5:O11" si="1">SUM(C5:N5)</f>
        <v>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x14ac:dyDescent="0.3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4">
        <f t="shared" si="1"/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x14ac:dyDescent="0.3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4">
        <f t="shared" si="1"/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x14ac:dyDescent="0.3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4">
        <f t="shared" si="1"/>
        <v>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3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>
        <f t="shared" si="1"/>
        <v>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idden="1" x14ac:dyDescent="0.3">
      <c r="A10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>
        <f t="shared" si="1"/>
        <v>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idden="1" x14ac:dyDescent="0.3">
      <c r="A11" t="s">
        <v>54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>
        <f t="shared" si="1"/>
        <v>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21" customHeight="1" x14ac:dyDescent="0.3">
      <c r="A12" s="58" t="s">
        <v>55</v>
      </c>
      <c r="B12" s="59"/>
      <c r="C12" s="60">
        <f t="shared" ref="C12:O12" si="2">SUM(C5:C11)</f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3">
      <c r="A13" s="61" t="s">
        <v>56</v>
      </c>
      <c r="C13" s="74">
        <f t="shared" ref="C13:N13" si="3">C3+C12</f>
        <v>5000</v>
      </c>
      <c r="D13" s="74">
        <f t="shared" si="3"/>
        <v>5000</v>
      </c>
      <c r="E13" s="74">
        <f t="shared" si="3"/>
        <v>5000</v>
      </c>
      <c r="F13" s="74">
        <f t="shared" si="3"/>
        <v>5000</v>
      </c>
      <c r="G13" s="74">
        <f t="shared" si="3"/>
        <v>5000</v>
      </c>
      <c r="H13" s="74">
        <f t="shared" si="3"/>
        <v>5000</v>
      </c>
      <c r="I13" s="74">
        <f t="shared" si="3"/>
        <v>5000</v>
      </c>
      <c r="J13" s="74">
        <f t="shared" si="3"/>
        <v>5000</v>
      </c>
      <c r="K13" s="74">
        <f t="shared" si="3"/>
        <v>5000</v>
      </c>
      <c r="L13" s="74">
        <f t="shared" si="3"/>
        <v>5000</v>
      </c>
      <c r="M13" s="74">
        <f t="shared" si="3"/>
        <v>5000</v>
      </c>
      <c r="N13" s="74">
        <f t="shared" si="3"/>
        <v>5000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25.5" customHeight="1" x14ac:dyDescent="0.3">
      <c r="A14" s="39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25.5" customHeight="1" x14ac:dyDescent="0.3">
      <c r="A15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f t="shared" ref="O15:O33" si="4">SUM(C15:N15)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" customHeight="1" x14ac:dyDescent="0.3">
      <c r="A16" t="s">
        <v>59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f t="shared" si="4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" customHeight="1" x14ac:dyDescent="0.3">
      <c r="A17" t="s">
        <v>60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>
        <f t="shared" si="4"/>
        <v>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 x14ac:dyDescent="0.3">
      <c r="A18" t="s">
        <v>61</v>
      </c>
      <c r="C18" s="62">
        <f>C17*0.1</f>
        <v>0</v>
      </c>
      <c r="D18" s="62">
        <f t="shared" ref="D18:N18" si="5">D17*0.1</f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54">
        <f t="shared" si="4"/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3">
      <c r="A19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4">
        <f t="shared" si="4"/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x14ac:dyDescent="0.3">
      <c r="A20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>
        <f t="shared" si="4"/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x14ac:dyDescent="0.3">
      <c r="A21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4">
        <f t="shared" si="4"/>
        <v>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x14ac:dyDescent="0.3">
      <c r="A22" t="s">
        <v>65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>
        <f t="shared" si="4"/>
        <v>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x14ac:dyDescent="0.3">
      <c r="A23" t="s">
        <v>66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>
        <f t="shared" si="4"/>
        <v>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x14ac:dyDescent="0.3">
      <c r="A24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>
        <f t="shared" si="4"/>
        <v>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x14ac:dyDescent="0.3">
      <c r="A25" t="s">
        <v>68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>
        <f t="shared" si="4"/>
        <v>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x14ac:dyDescent="0.3">
      <c r="A26" t="s">
        <v>69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4">
        <f t="shared" si="4"/>
        <v>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x14ac:dyDescent="0.3">
      <c r="A27" t="s">
        <v>70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>
        <f t="shared" si="4"/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x14ac:dyDescent="0.3">
      <c r="A28" t="s">
        <v>71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>
        <f t="shared" si="4"/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x14ac:dyDescent="0.3">
      <c r="A29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>
        <f t="shared" si="4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x14ac:dyDescent="0.3">
      <c r="A30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4">
        <f t="shared" si="4"/>
        <v>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x14ac:dyDescent="0.3">
      <c r="A31" t="s">
        <v>74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4">
        <f t="shared" si="4"/>
        <v>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x14ac:dyDescent="0.3">
      <c r="A32" t="s">
        <v>75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4">
        <f t="shared" si="4"/>
        <v>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x14ac:dyDescent="0.3">
      <c r="A33" t="s">
        <v>75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4">
        <f t="shared" si="4"/>
        <v>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x14ac:dyDescent="0.3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x14ac:dyDescent="0.3">
      <c r="A35" s="39" t="s">
        <v>76</v>
      </c>
      <c r="C35" s="75">
        <f t="shared" ref="C35:O35" si="6">SUM(C15:C34)</f>
        <v>0</v>
      </c>
      <c r="D35" s="75">
        <f t="shared" si="6"/>
        <v>0</v>
      </c>
      <c r="E35" s="75">
        <f t="shared" si="6"/>
        <v>0</v>
      </c>
      <c r="F35" s="75">
        <f t="shared" si="6"/>
        <v>0</v>
      </c>
      <c r="G35" s="75">
        <f t="shared" si="6"/>
        <v>0</v>
      </c>
      <c r="H35" s="75">
        <f t="shared" si="6"/>
        <v>0</v>
      </c>
      <c r="I35" s="75">
        <f t="shared" si="6"/>
        <v>0</v>
      </c>
      <c r="J35" s="75">
        <f t="shared" si="6"/>
        <v>0</v>
      </c>
      <c r="K35" s="75">
        <f t="shared" si="6"/>
        <v>0</v>
      </c>
      <c r="L35" s="75">
        <f t="shared" si="6"/>
        <v>0</v>
      </c>
      <c r="M35" s="75">
        <f t="shared" si="6"/>
        <v>0</v>
      </c>
      <c r="N35" s="75">
        <f t="shared" si="6"/>
        <v>0</v>
      </c>
      <c r="O35" s="54">
        <f t="shared" si="6"/>
        <v>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x14ac:dyDescent="0.3">
      <c r="A36" s="52" t="s">
        <v>77</v>
      </c>
      <c r="B36" s="44"/>
      <c r="C36" s="53">
        <f t="shared" ref="C36:N36" si="7">C13-C35</f>
        <v>5000</v>
      </c>
      <c r="D36" s="53">
        <f t="shared" si="7"/>
        <v>5000</v>
      </c>
      <c r="E36" s="53">
        <f t="shared" si="7"/>
        <v>5000</v>
      </c>
      <c r="F36" s="53">
        <f t="shared" si="7"/>
        <v>5000</v>
      </c>
      <c r="G36" s="53">
        <f t="shared" si="7"/>
        <v>5000</v>
      </c>
      <c r="H36" s="53">
        <f t="shared" si="7"/>
        <v>5000</v>
      </c>
      <c r="I36" s="53">
        <f t="shared" si="7"/>
        <v>5000</v>
      </c>
      <c r="J36" s="53">
        <f t="shared" si="7"/>
        <v>5000</v>
      </c>
      <c r="K36" s="53">
        <f t="shared" si="7"/>
        <v>5000</v>
      </c>
      <c r="L36" s="53">
        <f t="shared" si="7"/>
        <v>5000</v>
      </c>
      <c r="M36" s="53">
        <f t="shared" si="7"/>
        <v>5000</v>
      </c>
      <c r="N36" s="53">
        <f t="shared" si="7"/>
        <v>5000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8" spans="1:28" ht="18" customHeight="1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28" x14ac:dyDescent="0.3">
      <c r="A39" s="63"/>
    </row>
    <row r="40" spans="1:28" x14ac:dyDescent="0.3">
      <c r="A40" s="63"/>
    </row>
    <row r="41" spans="1:28" x14ac:dyDescent="0.3">
      <c r="A41" s="6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pageMargins left="0.25" right="0.25" top="0.75" bottom="0.75" header="0.30000000000000004" footer="0.30000000000000004"/>
  <pageSetup paperSize="0" scale="75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8" sqref="B8"/>
    </sheetView>
  </sheetViews>
  <sheetFormatPr defaultRowHeight="14.4" x14ac:dyDescent="0.3"/>
  <cols>
    <col min="1" max="1" width="9.109375" customWidth="1"/>
    <col min="2" max="2" width="12.88671875" customWidth="1"/>
    <col min="3" max="3" width="11.5546875" customWidth="1"/>
    <col min="4" max="4" width="5.33203125" customWidth="1"/>
    <col min="5" max="5" width="15" customWidth="1"/>
    <col min="6" max="6" width="12.44140625" customWidth="1"/>
    <col min="7" max="7" width="9.109375" customWidth="1"/>
  </cols>
  <sheetData>
    <row r="2" spans="2:6" x14ac:dyDescent="0.3">
      <c r="B2" s="49" t="s">
        <v>87</v>
      </c>
      <c r="E2" s="49" t="s">
        <v>88</v>
      </c>
    </row>
    <row r="3" spans="2:6" x14ac:dyDescent="0.3">
      <c r="E3" s="49"/>
    </row>
    <row r="4" spans="2:6" x14ac:dyDescent="0.3">
      <c r="B4" t="s">
        <v>89</v>
      </c>
      <c r="C4" s="41"/>
      <c r="E4" t="s">
        <v>90</v>
      </c>
      <c r="F4" s="41"/>
    </row>
    <row r="5" spans="2:6" x14ac:dyDescent="0.3">
      <c r="B5" t="s">
        <v>91</v>
      </c>
      <c r="C5" s="41"/>
      <c r="E5" t="s">
        <v>92</v>
      </c>
      <c r="F5" s="41"/>
    </row>
    <row r="6" spans="2:6" x14ac:dyDescent="0.3">
      <c r="B6" t="s">
        <v>91</v>
      </c>
      <c r="C6" s="41"/>
      <c r="E6" t="s">
        <v>93</v>
      </c>
      <c r="F6" s="41"/>
    </row>
    <row r="7" spans="2:6" x14ac:dyDescent="0.3">
      <c r="B7" t="s">
        <v>75</v>
      </c>
      <c r="C7" s="41"/>
      <c r="E7" t="s">
        <v>94</v>
      </c>
      <c r="F7" s="41"/>
    </row>
    <row r="8" spans="2:6" x14ac:dyDescent="0.3">
      <c r="C8" s="41"/>
      <c r="E8" t="s">
        <v>95</v>
      </c>
      <c r="F8" s="41"/>
    </row>
    <row r="9" spans="2:6" x14ac:dyDescent="0.3">
      <c r="C9" s="64"/>
      <c r="F9" s="64"/>
    </row>
    <row r="10" spans="2:6" x14ac:dyDescent="0.3">
      <c r="B10" t="s">
        <v>96</v>
      </c>
      <c r="C10" s="41">
        <f>SUM(C4:C9)</f>
        <v>0</v>
      </c>
      <c r="F10" s="41">
        <f>SUM(F4:F9)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/>
  </sheetViews>
  <sheetFormatPr defaultRowHeight="14.4" x14ac:dyDescent="0.3"/>
  <cols>
    <col min="1" max="3" width="9.109375" customWidth="1"/>
    <col min="4" max="4" width="18.44140625" customWidth="1"/>
    <col min="5" max="5" width="17.44140625" customWidth="1"/>
    <col min="6" max="6" width="23.33203125" customWidth="1"/>
    <col min="7" max="7" width="9.109375" customWidth="1"/>
  </cols>
  <sheetData>
    <row r="3" spans="2:6" x14ac:dyDescent="0.3">
      <c r="B3" s="49" t="s">
        <v>97</v>
      </c>
    </row>
    <row r="4" spans="2:6" x14ac:dyDescent="0.3">
      <c r="D4" s="65" t="s">
        <v>98</v>
      </c>
      <c r="E4" s="65" t="s">
        <v>99</v>
      </c>
      <c r="F4" s="65" t="s">
        <v>100</v>
      </c>
    </row>
    <row r="5" spans="2:6" x14ac:dyDescent="0.3">
      <c r="B5" s="39" t="s">
        <v>90</v>
      </c>
      <c r="D5" s="41"/>
      <c r="E5">
        <v>0.8</v>
      </c>
      <c r="F5" s="41">
        <f>D5*E5</f>
        <v>0</v>
      </c>
    </row>
    <row r="6" spans="2:6" x14ac:dyDescent="0.3">
      <c r="B6" s="39" t="s">
        <v>101</v>
      </c>
      <c r="D6" s="41"/>
      <c r="E6">
        <v>0.75</v>
      </c>
      <c r="F6" s="41">
        <f>D6*E6</f>
        <v>0</v>
      </c>
    </row>
    <row r="7" spans="2:6" x14ac:dyDescent="0.3">
      <c r="B7" s="39" t="s">
        <v>102</v>
      </c>
      <c r="D7" s="41"/>
      <c r="E7">
        <v>0.6</v>
      </c>
      <c r="F7" s="41">
        <f>D7*E7</f>
        <v>0</v>
      </c>
    </row>
    <row r="8" spans="2:6" x14ac:dyDescent="0.3">
      <c r="B8" s="39" t="s">
        <v>94</v>
      </c>
      <c r="D8" s="64"/>
      <c r="E8">
        <v>0.5</v>
      </c>
      <c r="F8" s="64">
        <f>D8*E8</f>
        <v>0</v>
      </c>
    </row>
    <row r="9" spans="2:6" x14ac:dyDescent="0.3">
      <c r="B9" s="39" t="s">
        <v>49</v>
      </c>
      <c r="D9" s="41">
        <f>SUM(D5:D8)</f>
        <v>0</v>
      </c>
      <c r="F9" s="41">
        <f>SUM(F5:F8)</f>
        <v>0</v>
      </c>
    </row>
    <row r="10" spans="2:6" x14ac:dyDescent="0.3">
      <c r="F10" s="41"/>
    </row>
    <row r="11" spans="2:6" x14ac:dyDescent="0.3">
      <c r="B11" s="49" t="s">
        <v>103</v>
      </c>
      <c r="F11" s="41"/>
    </row>
    <row r="12" spans="2:6" x14ac:dyDescent="0.3">
      <c r="B12" s="39" t="s">
        <v>104</v>
      </c>
      <c r="F12" s="41"/>
    </row>
    <row r="13" spans="2:6" x14ac:dyDescent="0.3">
      <c r="B13" s="39" t="s">
        <v>105</v>
      </c>
      <c r="F13" s="41"/>
    </row>
    <row r="14" spans="2:6" x14ac:dyDescent="0.3">
      <c r="B14" s="39" t="s">
        <v>106</v>
      </c>
      <c r="F14" s="64"/>
    </row>
    <row r="15" spans="2:6" x14ac:dyDescent="0.3">
      <c r="B15" s="39" t="s">
        <v>49</v>
      </c>
      <c r="F15" s="41">
        <f>SUM(F12:F14)</f>
        <v>0</v>
      </c>
    </row>
    <row r="17" spans="2:2" x14ac:dyDescent="0.3">
      <c r="B17" s="39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Loan_Amortization</vt:lpstr>
      <vt:lpstr>Debt_service_schedule</vt:lpstr>
      <vt:lpstr>monthly_P&amp;L-_yr_1</vt:lpstr>
      <vt:lpstr>12 week rolling_cf</vt:lpstr>
      <vt:lpstr>monthly_cf-_yr_1</vt:lpstr>
      <vt:lpstr>monthly_P&amp;L-_yr_2</vt:lpstr>
      <vt:lpstr>monthly_cf-_yr_2</vt:lpstr>
      <vt:lpstr>Sources_and_Uses</vt:lpstr>
      <vt:lpstr>Collateral_discounting</vt:lpstr>
      <vt:lpstr>Loan_Amortization!Print_Area</vt:lpstr>
      <vt:lpstr>TemplatePrintArea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SBDC</dc:creator>
  <cp:lastModifiedBy>Ripley, Patrick M</cp:lastModifiedBy>
  <cp:revision/>
  <dcterms:created xsi:type="dcterms:W3CDTF">2006-09-16T00:00:00Z</dcterms:created>
  <dcterms:modified xsi:type="dcterms:W3CDTF">2017-08-23T15:22:24Z</dcterms:modified>
</cp:coreProperties>
</file>